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1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kumentace\Z Wamp In\Zakázky 25\05 25 Kotelna Hasičská\PDF\Rozpočet sl\"/>
    </mc:Choice>
  </mc:AlternateContent>
  <xr:revisionPtr revIDLastSave="0" documentId="8_{A7C4DEBA-1D8D-471F-9F37-215BF24EC463}" xr6:coauthVersionLast="47" xr6:coauthVersionMax="47" xr10:uidLastSave="{00000000-0000-0000-0000-000000000000}"/>
  <bookViews>
    <workbookView xWindow="2985" yWindow="30" windowWidth="25335" windowHeight="16110" tabRatio="500" xr2:uid="{00000000-000D-0000-FFFF-FFFF00000000}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VORN!$I$36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35" i="3" l="1"/>
  <c r="I36" i="3" s="1"/>
  <c r="I26" i="3"/>
  <c r="I25" i="3"/>
  <c r="I24" i="3"/>
  <c r="I23" i="3"/>
  <c r="I22" i="3"/>
  <c r="I21" i="3"/>
  <c r="I27" i="3" s="1"/>
  <c r="I17" i="3"/>
  <c r="I16" i="3"/>
  <c r="I15" i="3"/>
  <c r="I10" i="3"/>
  <c r="F10" i="3"/>
  <c r="C10" i="3"/>
  <c r="F8" i="3"/>
  <c r="C8" i="3"/>
  <c r="F6" i="3"/>
  <c r="C6" i="3"/>
  <c r="F4" i="3"/>
  <c r="C4" i="3"/>
  <c r="F2" i="3"/>
  <c r="C2" i="3"/>
  <c r="I24" i="2"/>
  <c r="I19" i="2"/>
  <c r="I18" i="2"/>
  <c r="I17" i="2"/>
  <c r="I16" i="2"/>
  <c r="F16" i="2"/>
  <c r="I15" i="2"/>
  <c r="F15" i="2"/>
  <c r="I14" i="2"/>
  <c r="I22" i="2" s="1"/>
  <c r="F14" i="2"/>
  <c r="F22" i="2" s="1"/>
  <c r="I10" i="2"/>
  <c r="F10" i="2"/>
  <c r="C10" i="2"/>
  <c r="F8" i="2"/>
  <c r="C8" i="2"/>
  <c r="F6" i="2"/>
  <c r="C6" i="2"/>
  <c r="F4" i="2"/>
  <c r="C4" i="2"/>
  <c r="F2" i="2"/>
  <c r="C2" i="2"/>
  <c r="BW104" i="1"/>
  <c r="BJ104" i="1"/>
  <c r="BD104" i="1"/>
  <c r="AP104" i="1"/>
  <c r="AO104" i="1"/>
  <c r="AW104" i="1" s="1"/>
  <c r="AL104" i="1"/>
  <c r="AJ104" i="1"/>
  <c r="AH104" i="1"/>
  <c r="AE104" i="1"/>
  <c r="AD104" i="1"/>
  <c r="AC104" i="1"/>
  <c r="AB104" i="1"/>
  <c r="Z104" i="1"/>
  <c r="O104" i="1"/>
  <c r="BF104" i="1" s="1"/>
  <c r="L104" i="1"/>
  <c r="M104" i="1" s="1"/>
  <c r="M103" i="1" s="1"/>
  <c r="K104" i="1"/>
  <c r="J104" i="1"/>
  <c r="J103" i="1" s="1"/>
  <c r="AU103" i="1"/>
  <c r="AS103" i="1"/>
  <c r="O103" i="1"/>
  <c r="L103" i="1"/>
  <c r="K103" i="1"/>
  <c r="BW102" i="1"/>
  <c r="BJ102" i="1"/>
  <c r="BD102" i="1"/>
  <c r="AP102" i="1"/>
  <c r="AX102" i="1" s="1"/>
  <c r="AO102" i="1"/>
  <c r="AL102" i="1"/>
  <c r="AJ102" i="1"/>
  <c r="AH102" i="1"/>
  <c r="AG102" i="1"/>
  <c r="AF102" i="1"/>
  <c r="AE102" i="1"/>
  <c r="AD102" i="1"/>
  <c r="Z102" i="1"/>
  <c r="O102" i="1"/>
  <c r="BF102" i="1" s="1"/>
  <c r="L102" i="1"/>
  <c r="M102" i="1" s="1"/>
  <c r="J102" i="1"/>
  <c r="BW101" i="1"/>
  <c r="BJ101" i="1"/>
  <c r="BD101" i="1"/>
  <c r="AP101" i="1"/>
  <c r="AX101" i="1" s="1"/>
  <c r="AO101" i="1"/>
  <c r="BH101" i="1" s="1"/>
  <c r="AB101" i="1" s="1"/>
  <c r="AL101" i="1"/>
  <c r="AU100" i="1" s="1"/>
  <c r="AJ101" i="1"/>
  <c r="AH101" i="1"/>
  <c r="AG101" i="1"/>
  <c r="AF101" i="1"/>
  <c r="AE101" i="1"/>
  <c r="AD101" i="1"/>
  <c r="Z101" i="1"/>
  <c r="O101" i="1"/>
  <c r="BF101" i="1" s="1"/>
  <c r="L101" i="1"/>
  <c r="L100" i="1" s="1"/>
  <c r="K101" i="1"/>
  <c r="AS100" i="1"/>
  <c r="O100" i="1"/>
  <c r="BW99" i="1"/>
  <c r="BJ99" i="1"/>
  <c r="BD99" i="1"/>
  <c r="AP99" i="1"/>
  <c r="BI99" i="1" s="1"/>
  <c r="AE99" i="1" s="1"/>
  <c r="AO99" i="1"/>
  <c r="BH99" i="1" s="1"/>
  <c r="AD99" i="1" s="1"/>
  <c r="AL99" i="1"/>
  <c r="AJ99" i="1"/>
  <c r="AH99" i="1"/>
  <c r="AG99" i="1"/>
  <c r="AF99" i="1"/>
  <c r="AC99" i="1"/>
  <c r="AB99" i="1"/>
  <c r="Z99" i="1"/>
  <c r="O99" i="1"/>
  <c r="BF99" i="1" s="1"/>
  <c r="L99" i="1"/>
  <c r="M99" i="1" s="1"/>
  <c r="K99" i="1"/>
  <c r="BW98" i="1"/>
  <c r="BJ98" i="1"/>
  <c r="BD98" i="1"/>
  <c r="AP98" i="1"/>
  <c r="AO98" i="1"/>
  <c r="AL98" i="1"/>
  <c r="AJ98" i="1"/>
  <c r="AH98" i="1"/>
  <c r="AG98" i="1"/>
  <c r="AF98" i="1"/>
  <c r="AC98" i="1"/>
  <c r="AB98" i="1"/>
  <c r="Z98" i="1"/>
  <c r="O98" i="1"/>
  <c r="BF98" i="1" s="1"/>
  <c r="L98" i="1"/>
  <c r="M98" i="1" s="1"/>
  <c r="K98" i="1"/>
  <c r="O97" i="1"/>
  <c r="BW96" i="1"/>
  <c r="BJ96" i="1"/>
  <c r="BD96" i="1"/>
  <c r="AP96" i="1"/>
  <c r="AX96" i="1" s="1"/>
  <c r="AO96" i="1"/>
  <c r="AL96" i="1"/>
  <c r="AJ96" i="1"/>
  <c r="AH96" i="1"/>
  <c r="AG96" i="1"/>
  <c r="AF96" i="1"/>
  <c r="AC96" i="1"/>
  <c r="AB96" i="1"/>
  <c r="Z96" i="1"/>
  <c r="O96" i="1"/>
  <c r="BF96" i="1" s="1"/>
  <c r="L96" i="1"/>
  <c r="M96" i="1" s="1"/>
  <c r="K96" i="1"/>
  <c r="J96" i="1"/>
  <c r="BW95" i="1"/>
  <c r="BJ95" i="1"/>
  <c r="BD95" i="1"/>
  <c r="AP95" i="1"/>
  <c r="AX95" i="1" s="1"/>
  <c r="AO95" i="1"/>
  <c r="AW95" i="1" s="1"/>
  <c r="AL95" i="1"/>
  <c r="AJ95" i="1"/>
  <c r="AH95" i="1"/>
  <c r="AG95" i="1"/>
  <c r="AF95" i="1"/>
  <c r="AC95" i="1"/>
  <c r="AB95" i="1"/>
  <c r="Z95" i="1"/>
  <c r="O95" i="1"/>
  <c r="BF95" i="1" s="1"/>
  <c r="L95" i="1"/>
  <c r="M95" i="1" s="1"/>
  <c r="BW94" i="1"/>
  <c r="BJ94" i="1"/>
  <c r="BD94" i="1"/>
  <c r="AP94" i="1"/>
  <c r="BI94" i="1" s="1"/>
  <c r="AE94" i="1" s="1"/>
  <c r="AO94" i="1"/>
  <c r="BH94" i="1" s="1"/>
  <c r="AD94" i="1" s="1"/>
  <c r="AL94" i="1"/>
  <c r="AJ94" i="1"/>
  <c r="AH94" i="1"/>
  <c r="AG94" i="1"/>
  <c r="AF94" i="1"/>
  <c r="AC94" i="1"/>
  <c r="AB94" i="1"/>
  <c r="Z94" i="1"/>
  <c r="O94" i="1"/>
  <c r="BF94" i="1" s="1"/>
  <c r="L94" i="1"/>
  <c r="K94" i="1"/>
  <c r="AU93" i="1"/>
  <c r="O93" i="1"/>
  <c r="BW92" i="1"/>
  <c r="BJ92" i="1"/>
  <c r="BD92" i="1"/>
  <c r="AP92" i="1"/>
  <c r="BI92" i="1" s="1"/>
  <c r="AE92" i="1" s="1"/>
  <c r="AO92" i="1"/>
  <c r="BH92" i="1" s="1"/>
  <c r="AD92" i="1" s="1"/>
  <c r="AL92" i="1"/>
  <c r="AJ92" i="1"/>
  <c r="AH92" i="1"/>
  <c r="AG92" i="1"/>
  <c r="AF92" i="1"/>
  <c r="AC92" i="1"/>
  <c r="AB92" i="1"/>
  <c r="Z92" i="1"/>
  <c r="O92" i="1"/>
  <c r="BF92" i="1" s="1"/>
  <c r="L92" i="1"/>
  <c r="M92" i="1" s="1"/>
  <c r="K92" i="1"/>
  <c r="BW91" i="1"/>
  <c r="BJ91" i="1"/>
  <c r="BD91" i="1"/>
  <c r="AP91" i="1"/>
  <c r="AO91" i="1"/>
  <c r="AL91" i="1"/>
  <c r="AJ91" i="1"/>
  <c r="AH91" i="1"/>
  <c r="AG91" i="1"/>
  <c r="AF91" i="1"/>
  <c r="AC91" i="1"/>
  <c r="AB91" i="1"/>
  <c r="Z91" i="1"/>
  <c r="O91" i="1"/>
  <c r="BF91" i="1" s="1"/>
  <c r="L91" i="1"/>
  <c r="M91" i="1" s="1"/>
  <c r="K91" i="1"/>
  <c r="J91" i="1"/>
  <c r="BW90" i="1"/>
  <c r="BJ90" i="1"/>
  <c r="BD90" i="1"/>
  <c r="AP90" i="1"/>
  <c r="AX90" i="1" s="1"/>
  <c r="AO90" i="1"/>
  <c r="AW90" i="1" s="1"/>
  <c r="AL90" i="1"/>
  <c r="AJ90" i="1"/>
  <c r="AH90" i="1"/>
  <c r="AG90" i="1"/>
  <c r="AF90" i="1"/>
  <c r="AC90" i="1"/>
  <c r="AB90" i="1"/>
  <c r="Z90" i="1"/>
  <c r="O90" i="1"/>
  <c r="BF90" i="1" s="1"/>
  <c r="L90" i="1"/>
  <c r="M90" i="1" s="1"/>
  <c r="BW89" i="1"/>
  <c r="BJ89" i="1"/>
  <c r="BD89" i="1"/>
  <c r="AP89" i="1"/>
  <c r="AO89" i="1"/>
  <c r="BH89" i="1" s="1"/>
  <c r="AD89" i="1" s="1"/>
  <c r="AL89" i="1"/>
  <c r="AJ89" i="1"/>
  <c r="AH89" i="1"/>
  <c r="AG89" i="1"/>
  <c r="AF89" i="1"/>
  <c r="AC89" i="1"/>
  <c r="AB89" i="1"/>
  <c r="Z89" i="1"/>
  <c r="O89" i="1"/>
  <c r="BF89" i="1" s="1"/>
  <c r="L89" i="1"/>
  <c r="M89" i="1" s="1"/>
  <c r="K89" i="1"/>
  <c r="BW88" i="1"/>
  <c r="BJ88" i="1"/>
  <c r="BD88" i="1"/>
  <c r="AP88" i="1"/>
  <c r="AX88" i="1" s="1"/>
  <c r="AO88" i="1"/>
  <c r="AW88" i="1" s="1"/>
  <c r="AL88" i="1"/>
  <c r="AJ88" i="1"/>
  <c r="AH88" i="1"/>
  <c r="AG88" i="1"/>
  <c r="AF88" i="1"/>
  <c r="AC88" i="1"/>
  <c r="AB88" i="1"/>
  <c r="Z88" i="1"/>
  <c r="O88" i="1"/>
  <c r="BF88" i="1" s="1"/>
  <c r="L88" i="1"/>
  <c r="M88" i="1" s="1"/>
  <c r="K88" i="1"/>
  <c r="BW87" i="1"/>
  <c r="BJ87" i="1"/>
  <c r="BD87" i="1"/>
  <c r="AP87" i="1"/>
  <c r="AX87" i="1" s="1"/>
  <c r="AO87" i="1"/>
  <c r="AW87" i="1" s="1"/>
  <c r="AL87" i="1"/>
  <c r="AJ87" i="1"/>
  <c r="AH87" i="1"/>
  <c r="AG87" i="1"/>
  <c r="AF87" i="1"/>
  <c r="AC87" i="1"/>
  <c r="AB87" i="1"/>
  <c r="Z87" i="1"/>
  <c r="O87" i="1"/>
  <c r="BF87" i="1" s="1"/>
  <c r="L87" i="1"/>
  <c r="M87" i="1" s="1"/>
  <c r="BW86" i="1"/>
  <c r="BJ86" i="1"/>
  <c r="BD86" i="1"/>
  <c r="AP86" i="1"/>
  <c r="AX86" i="1" s="1"/>
  <c r="AO86" i="1"/>
  <c r="BH86" i="1" s="1"/>
  <c r="AD86" i="1" s="1"/>
  <c r="AL86" i="1"/>
  <c r="AJ86" i="1"/>
  <c r="AH86" i="1"/>
  <c r="AG86" i="1"/>
  <c r="AF86" i="1"/>
  <c r="AC86" i="1"/>
  <c r="AB86" i="1"/>
  <c r="Z86" i="1"/>
  <c r="O86" i="1"/>
  <c r="BF86" i="1" s="1"/>
  <c r="L86" i="1"/>
  <c r="M86" i="1" s="1"/>
  <c r="K86" i="1"/>
  <c r="BW85" i="1"/>
  <c r="BJ85" i="1"/>
  <c r="BD85" i="1"/>
  <c r="AP85" i="1"/>
  <c r="AO85" i="1"/>
  <c r="AL85" i="1"/>
  <c r="AJ85" i="1"/>
  <c r="AH85" i="1"/>
  <c r="AG85" i="1"/>
  <c r="AF85" i="1"/>
  <c r="AC85" i="1"/>
  <c r="AB85" i="1"/>
  <c r="Z85" i="1"/>
  <c r="O85" i="1"/>
  <c r="BF85" i="1" s="1"/>
  <c r="L85" i="1"/>
  <c r="M85" i="1" s="1"/>
  <c r="K85" i="1"/>
  <c r="J85" i="1"/>
  <c r="BW84" i="1"/>
  <c r="BJ84" i="1"/>
  <c r="BD84" i="1"/>
  <c r="AP84" i="1"/>
  <c r="AX84" i="1" s="1"/>
  <c r="AO84" i="1"/>
  <c r="AW84" i="1" s="1"/>
  <c r="AL84" i="1"/>
  <c r="AJ84" i="1"/>
  <c r="AH84" i="1"/>
  <c r="AG84" i="1"/>
  <c r="AF84" i="1"/>
  <c r="AC84" i="1"/>
  <c r="AB84" i="1"/>
  <c r="Z84" i="1"/>
  <c r="O84" i="1"/>
  <c r="BF84" i="1" s="1"/>
  <c r="L84" i="1"/>
  <c r="M84" i="1" s="1"/>
  <c r="BW83" i="1"/>
  <c r="BJ83" i="1"/>
  <c r="BD83" i="1"/>
  <c r="AP83" i="1"/>
  <c r="AO83" i="1"/>
  <c r="BH83" i="1" s="1"/>
  <c r="AD83" i="1" s="1"/>
  <c r="AL83" i="1"/>
  <c r="AJ83" i="1"/>
  <c r="AH83" i="1"/>
  <c r="AG83" i="1"/>
  <c r="AF83" i="1"/>
  <c r="AC83" i="1"/>
  <c r="AB83" i="1"/>
  <c r="Z83" i="1"/>
  <c r="O83" i="1"/>
  <c r="BF83" i="1" s="1"/>
  <c r="L83" i="1"/>
  <c r="M83" i="1" s="1"/>
  <c r="K83" i="1"/>
  <c r="BW82" i="1"/>
  <c r="BJ82" i="1"/>
  <c r="BD82" i="1"/>
  <c r="AP82" i="1"/>
  <c r="K82" i="1" s="1"/>
  <c r="AO82" i="1"/>
  <c r="AW82" i="1" s="1"/>
  <c r="AL82" i="1"/>
  <c r="AJ82" i="1"/>
  <c r="AH82" i="1"/>
  <c r="AG82" i="1"/>
  <c r="AF82" i="1"/>
  <c r="AC82" i="1"/>
  <c r="AB82" i="1"/>
  <c r="Z82" i="1"/>
  <c r="O82" i="1"/>
  <c r="BF82" i="1" s="1"/>
  <c r="L82" i="1"/>
  <c r="M82" i="1" s="1"/>
  <c r="J82" i="1"/>
  <c r="BW81" i="1"/>
  <c r="BJ81" i="1"/>
  <c r="BD81" i="1"/>
  <c r="AP81" i="1"/>
  <c r="AX81" i="1" s="1"/>
  <c r="AO81" i="1"/>
  <c r="AW81" i="1" s="1"/>
  <c r="AL81" i="1"/>
  <c r="AJ81" i="1"/>
  <c r="AH81" i="1"/>
  <c r="AG81" i="1"/>
  <c r="AF81" i="1"/>
  <c r="AC81" i="1"/>
  <c r="AB81" i="1"/>
  <c r="Z81" i="1"/>
  <c r="O81" i="1"/>
  <c r="BF81" i="1" s="1"/>
  <c r="L81" i="1"/>
  <c r="M81" i="1" s="1"/>
  <c r="BW80" i="1"/>
  <c r="BJ80" i="1"/>
  <c r="BD80" i="1"/>
  <c r="AP80" i="1"/>
  <c r="AX80" i="1" s="1"/>
  <c r="AO80" i="1"/>
  <c r="BH80" i="1" s="1"/>
  <c r="AD80" i="1" s="1"/>
  <c r="AL80" i="1"/>
  <c r="AJ80" i="1"/>
  <c r="AH80" i="1"/>
  <c r="AG80" i="1"/>
  <c r="AF80" i="1"/>
  <c r="AC80" i="1"/>
  <c r="AB80" i="1"/>
  <c r="Z80" i="1"/>
  <c r="O80" i="1"/>
  <c r="BF80" i="1" s="1"/>
  <c r="L80" i="1"/>
  <c r="M80" i="1" s="1"/>
  <c r="K80" i="1"/>
  <c r="BW79" i="1"/>
  <c r="BJ79" i="1"/>
  <c r="BD79" i="1"/>
  <c r="AP79" i="1"/>
  <c r="AO79" i="1"/>
  <c r="AL79" i="1"/>
  <c r="AJ79" i="1"/>
  <c r="AH79" i="1"/>
  <c r="AG79" i="1"/>
  <c r="AF79" i="1"/>
  <c r="AC79" i="1"/>
  <c r="AB79" i="1"/>
  <c r="Z79" i="1"/>
  <c r="O79" i="1"/>
  <c r="BF79" i="1" s="1"/>
  <c r="L79" i="1"/>
  <c r="M79" i="1" s="1"/>
  <c r="K79" i="1"/>
  <c r="J79" i="1"/>
  <c r="BW78" i="1"/>
  <c r="BJ78" i="1"/>
  <c r="BD78" i="1"/>
  <c r="AP78" i="1"/>
  <c r="AX78" i="1" s="1"/>
  <c r="AO78" i="1"/>
  <c r="AW78" i="1" s="1"/>
  <c r="AL78" i="1"/>
  <c r="AJ78" i="1"/>
  <c r="AH78" i="1"/>
  <c r="AG78" i="1"/>
  <c r="AF78" i="1"/>
  <c r="AC78" i="1"/>
  <c r="AB78" i="1"/>
  <c r="Z78" i="1"/>
  <c r="O78" i="1"/>
  <c r="BF78" i="1" s="1"/>
  <c r="L78" i="1"/>
  <c r="M78" i="1" s="1"/>
  <c r="BW77" i="1"/>
  <c r="BJ77" i="1"/>
  <c r="BD77" i="1"/>
  <c r="AP77" i="1"/>
  <c r="AO77" i="1"/>
  <c r="BH77" i="1" s="1"/>
  <c r="AD77" i="1" s="1"/>
  <c r="AL77" i="1"/>
  <c r="AJ77" i="1"/>
  <c r="AH77" i="1"/>
  <c r="AG77" i="1"/>
  <c r="AF77" i="1"/>
  <c r="AC77" i="1"/>
  <c r="AB77" i="1"/>
  <c r="Z77" i="1"/>
  <c r="O77" i="1"/>
  <c r="BF77" i="1" s="1"/>
  <c r="L77" i="1"/>
  <c r="M77" i="1" s="1"/>
  <c r="K77" i="1"/>
  <c r="BW76" i="1"/>
  <c r="BJ76" i="1"/>
  <c r="BD76" i="1"/>
  <c r="AP76" i="1"/>
  <c r="AX76" i="1" s="1"/>
  <c r="AO76" i="1"/>
  <c r="AW76" i="1" s="1"/>
  <c r="AL76" i="1"/>
  <c r="AJ76" i="1"/>
  <c r="AH76" i="1"/>
  <c r="AG76" i="1"/>
  <c r="AF76" i="1"/>
  <c r="AC76" i="1"/>
  <c r="AB76" i="1"/>
  <c r="Z76" i="1"/>
  <c r="O76" i="1"/>
  <c r="BF76" i="1" s="1"/>
  <c r="L76" i="1"/>
  <c r="M76" i="1" s="1"/>
  <c r="K76" i="1"/>
  <c r="BW75" i="1"/>
  <c r="BJ75" i="1"/>
  <c r="BD75" i="1"/>
  <c r="AP75" i="1"/>
  <c r="AX75" i="1" s="1"/>
  <c r="AO75" i="1"/>
  <c r="AW75" i="1" s="1"/>
  <c r="AL75" i="1"/>
  <c r="AJ75" i="1"/>
  <c r="AH75" i="1"/>
  <c r="AG75" i="1"/>
  <c r="AF75" i="1"/>
  <c r="AC75" i="1"/>
  <c r="AB75" i="1"/>
  <c r="Z75" i="1"/>
  <c r="O75" i="1"/>
  <c r="L75" i="1"/>
  <c r="M75" i="1" s="1"/>
  <c r="BW74" i="1"/>
  <c r="BJ74" i="1"/>
  <c r="BD74" i="1"/>
  <c r="AP74" i="1"/>
  <c r="AX74" i="1" s="1"/>
  <c r="AO74" i="1"/>
  <c r="BH74" i="1" s="1"/>
  <c r="AD74" i="1" s="1"/>
  <c r="AL74" i="1"/>
  <c r="AJ74" i="1"/>
  <c r="AH74" i="1"/>
  <c r="AG74" i="1"/>
  <c r="AF74" i="1"/>
  <c r="AC74" i="1"/>
  <c r="AB74" i="1"/>
  <c r="Z74" i="1"/>
  <c r="O74" i="1"/>
  <c r="BF74" i="1" s="1"/>
  <c r="L74" i="1"/>
  <c r="M74" i="1" s="1"/>
  <c r="K74" i="1"/>
  <c r="BW73" i="1"/>
  <c r="BJ73" i="1"/>
  <c r="BD73" i="1"/>
  <c r="AP73" i="1"/>
  <c r="AO73" i="1"/>
  <c r="AL73" i="1"/>
  <c r="AJ73" i="1"/>
  <c r="AH73" i="1"/>
  <c r="AG73" i="1"/>
  <c r="AF73" i="1"/>
  <c r="AC73" i="1"/>
  <c r="AB73" i="1"/>
  <c r="Z73" i="1"/>
  <c r="O73" i="1"/>
  <c r="BF73" i="1" s="1"/>
  <c r="L73" i="1"/>
  <c r="M73" i="1" s="1"/>
  <c r="J73" i="1"/>
  <c r="BW71" i="1"/>
  <c r="BJ71" i="1"/>
  <c r="BD71" i="1"/>
  <c r="AP71" i="1"/>
  <c r="AO71" i="1"/>
  <c r="AL71" i="1"/>
  <c r="AJ71" i="1"/>
  <c r="AH71" i="1"/>
  <c r="AG71" i="1"/>
  <c r="AF71" i="1"/>
  <c r="AC71" i="1"/>
  <c r="AB71" i="1"/>
  <c r="Z71" i="1"/>
  <c r="O71" i="1"/>
  <c r="BF71" i="1" s="1"/>
  <c r="L71" i="1"/>
  <c r="M71" i="1" s="1"/>
  <c r="K71" i="1"/>
  <c r="J71" i="1"/>
  <c r="BW70" i="1"/>
  <c r="BJ70" i="1"/>
  <c r="BD70" i="1"/>
  <c r="AP70" i="1"/>
  <c r="AX70" i="1" s="1"/>
  <c r="AO70" i="1"/>
  <c r="AW70" i="1" s="1"/>
  <c r="AL70" i="1"/>
  <c r="AJ70" i="1"/>
  <c r="AH70" i="1"/>
  <c r="AG70" i="1"/>
  <c r="AF70" i="1"/>
  <c r="AC70" i="1"/>
  <c r="AB70" i="1"/>
  <c r="Z70" i="1"/>
  <c r="O70" i="1"/>
  <c r="BF70" i="1" s="1"/>
  <c r="L70" i="1"/>
  <c r="M70" i="1" s="1"/>
  <c r="BW69" i="1"/>
  <c r="BJ69" i="1"/>
  <c r="BD69" i="1"/>
  <c r="AP69" i="1"/>
  <c r="AX69" i="1" s="1"/>
  <c r="AO69" i="1"/>
  <c r="BH69" i="1" s="1"/>
  <c r="AD69" i="1" s="1"/>
  <c r="AL69" i="1"/>
  <c r="AJ69" i="1"/>
  <c r="AH69" i="1"/>
  <c r="AG69" i="1"/>
  <c r="AF69" i="1"/>
  <c r="AC69" i="1"/>
  <c r="AB69" i="1"/>
  <c r="Z69" i="1"/>
  <c r="O69" i="1"/>
  <c r="BF69" i="1" s="1"/>
  <c r="L69" i="1"/>
  <c r="M69" i="1" s="1"/>
  <c r="K69" i="1"/>
  <c r="BW68" i="1"/>
  <c r="BJ68" i="1"/>
  <c r="BD68" i="1"/>
  <c r="AP68" i="1"/>
  <c r="BI68" i="1" s="1"/>
  <c r="AE68" i="1" s="1"/>
  <c r="AO68" i="1"/>
  <c r="AW68" i="1" s="1"/>
  <c r="AL68" i="1"/>
  <c r="AJ68" i="1"/>
  <c r="AH68" i="1"/>
  <c r="AG68" i="1"/>
  <c r="AF68" i="1"/>
  <c r="AC68" i="1"/>
  <c r="AB68" i="1"/>
  <c r="Z68" i="1"/>
  <c r="O68" i="1"/>
  <c r="BF68" i="1" s="1"/>
  <c r="L68" i="1"/>
  <c r="M68" i="1" s="1"/>
  <c r="K68" i="1"/>
  <c r="BW67" i="1"/>
  <c r="BJ67" i="1"/>
  <c r="BD67" i="1"/>
  <c r="AP67" i="1"/>
  <c r="AX67" i="1" s="1"/>
  <c r="AO67" i="1"/>
  <c r="AW67" i="1" s="1"/>
  <c r="AL67" i="1"/>
  <c r="AJ67" i="1"/>
  <c r="AH67" i="1"/>
  <c r="AG67" i="1"/>
  <c r="AF67" i="1"/>
  <c r="AC67" i="1"/>
  <c r="AB67" i="1"/>
  <c r="Z67" i="1"/>
  <c r="O67" i="1"/>
  <c r="BF67" i="1" s="1"/>
  <c r="L67" i="1"/>
  <c r="M67" i="1" s="1"/>
  <c r="BW66" i="1"/>
  <c r="BJ66" i="1"/>
  <c r="BD66" i="1"/>
  <c r="AP66" i="1"/>
  <c r="AO66" i="1"/>
  <c r="BH66" i="1" s="1"/>
  <c r="AD66" i="1" s="1"/>
  <c r="AL66" i="1"/>
  <c r="AJ66" i="1"/>
  <c r="AH66" i="1"/>
  <c r="AG66" i="1"/>
  <c r="AF66" i="1"/>
  <c r="AC66" i="1"/>
  <c r="AB66" i="1"/>
  <c r="Z66" i="1"/>
  <c r="O66" i="1"/>
  <c r="BF66" i="1" s="1"/>
  <c r="L66" i="1"/>
  <c r="M66" i="1" s="1"/>
  <c r="K66" i="1"/>
  <c r="BW65" i="1"/>
  <c r="BJ65" i="1"/>
  <c r="BD65" i="1"/>
  <c r="AP65" i="1"/>
  <c r="AO65" i="1"/>
  <c r="AL65" i="1"/>
  <c r="AJ65" i="1"/>
  <c r="AH65" i="1"/>
  <c r="AG65" i="1"/>
  <c r="AF65" i="1"/>
  <c r="AC65" i="1"/>
  <c r="AB65" i="1"/>
  <c r="Z65" i="1"/>
  <c r="O65" i="1"/>
  <c r="BF65" i="1" s="1"/>
  <c r="L65" i="1"/>
  <c r="M65" i="1" s="1"/>
  <c r="K65" i="1"/>
  <c r="J65" i="1"/>
  <c r="BW64" i="1"/>
  <c r="BJ64" i="1"/>
  <c r="BD64" i="1"/>
  <c r="AP64" i="1"/>
  <c r="AX64" i="1" s="1"/>
  <c r="AO64" i="1"/>
  <c r="AW64" i="1" s="1"/>
  <c r="AL64" i="1"/>
  <c r="AU63" i="1" s="1"/>
  <c r="AJ64" i="1"/>
  <c r="AH64" i="1"/>
  <c r="AG64" i="1"/>
  <c r="AF64" i="1"/>
  <c r="AC64" i="1"/>
  <c r="AB64" i="1"/>
  <c r="Z64" i="1"/>
  <c r="O64" i="1"/>
  <c r="O63" i="1" s="1"/>
  <c r="L64" i="1"/>
  <c r="M64" i="1" s="1"/>
  <c r="BW62" i="1"/>
  <c r="BJ62" i="1"/>
  <c r="BD62" i="1"/>
  <c r="AP62" i="1"/>
  <c r="AX62" i="1" s="1"/>
  <c r="AO62" i="1"/>
  <c r="AW62" i="1" s="1"/>
  <c r="AL62" i="1"/>
  <c r="AJ62" i="1"/>
  <c r="AH62" i="1"/>
  <c r="AG62" i="1"/>
  <c r="AF62" i="1"/>
  <c r="AC62" i="1"/>
  <c r="AB62" i="1"/>
  <c r="Z62" i="1"/>
  <c r="O62" i="1"/>
  <c r="BF62" i="1" s="1"/>
  <c r="L62" i="1"/>
  <c r="M62" i="1" s="1"/>
  <c r="BW61" i="1"/>
  <c r="BJ61" i="1"/>
  <c r="BD61" i="1"/>
  <c r="AP61" i="1"/>
  <c r="AO61" i="1"/>
  <c r="BH61" i="1" s="1"/>
  <c r="AD61" i="1" s="1"/>
  <c r="AL61" i="1"/>
  <c r="AJ61" i="1"/>
  <c r="AH61" i="1"/>
  <c r="AG61" i="1"/>
  <c r="AF61" i="1"/>
  <c r="AC61" i="1"/>
  <c r="AB61" i="1"/>
  <c r="Z61" i="1"/>
  <c r="O61" i="1"/>
  <c r="BF61" i="1" s="1"/>
  <c r="L61" i="1"/>
  <c r="M61" i="1" s="1"/>
  <c r="BW60" i="1"/>
  <c r="BJ60" i="1"/>
  <c r="BD60" i="1"/>
  <c r="AP60" i="1"/>
  <c r="AX60" i="1" s="1"/>
  <c r="AO60" i="1"/>
  <c r="AL60" i="1"/>
  <c r="AJ60" i="1"/>
  <c r="AH60" i="1"/>
  <c r="AG60" i="1"/>
  <c r="AF60" i="1"/>
  <c r="AC60" i="1"/>
  <c r="AB60" i="1"/>
  <c r="Z60" i="1"/>
  <c r="O60" i="1"/>
  <c r="BF60" i="1" s="1"/>
  <c r="L60" i="1"/>
  <c r="M60" i="1" s="1"/>
  <c r="K60" i="1"/>
  <c r="J60" i="1"/>
  <c r="BW59" i="1"/>
  <c r="BJ59" i="1"/>
  <c r="BD59" i="1"/>
  <c r="AP59" i="1"/>
  <c r="AX59" i="1" s="1"/>
  <c r="AO59" i="1"/>
  <c r="AW59" i="1" s="1"/>
  <c r="AL59" i="1"/>
  <c r="AJ59" i="1"/>
  <c r="AH59" i="1"/>
  <c r="AG59" i="1"/>
  <c r="AF59" i="1"/>
  <c r="AC59" i="1"/>
  <c r="AB59" i="1"/>
  <c r="Z59" i="1"/>
  <c r="O59" i="1"/>
  <c r="BF59" i="1" s="1"/>
  <c r="L59" i="1"/>
  <c r="M59" i="1" s="1"/>
  <c r="BW58" i="1"/>
  <c r="BJ58" i="1"/>
  <c r="BD58" i="1"/>
  <c r="AP58" i="1"/>
  <c r="BI58" i="1" s="1"/>
  <c r="AE58" i="1" s="1"/>
  <c r="AO58" i="1"/>
  <c r="BH58" i="1" s="1"/>
  <c r="AD58" i="1" s="1"/>
  <c r="AL58" i="1"/>
  <c r="AJ58" i="1"/>
  <c r="AH58" i="1"/>
  <c r="AG58" i="1"/>
  <c r="AF58" i="1"/>
  <c r="AC58" i="1"/>
  <c r="AB58" i="1"/>
  <c r="Z58" i="1"/>
  <c r="O58" i="1"/>
  <c r="BF58" i="1" s="1"/>
  <c r="L58" i="1"/>
  <c r="M58" i="1" s="1"/>
  <c r="K58" i="1"/>
  <c r="BW57" i="1"/>
  <c r="BJ57" i="1"/>
  <c r="BD57" i="1"/>
  <c r="AP57" i="1"/>
  <c r="BI57" i="1" s="1"/>
  <c r="AE57" i="1" s="1"/>
  <c r="AO57" i="1"/>
  <c r="AW57" i="1" s="1"/>
  <c r="AL57" i="1"/>
  <c r="AJ57" i="1"/>
  <c r="AH57" i="1"/>
  <c r="AG57" i="1"/>
  <c r="AF57" i="1"/>
  <c r="AC57" i="1"/>
  <c r="AB57" i="1"/>
  <c r="Z57" i="1"/>
  <c r="O57" i="1"/>
  <c r="BF57" i="1" s="1"/>
  <c r="L57" i="1"/>
  <c r="M57" i="1" s="1"/>
  <c r="K57" i="1"/>
  <c r="J57" i="1"/>
  <c r="BW56" i="1"/>
  <c r="BJ56" i="1"/>
  <c r="BD56" i="1"/>
  <c r="AP56" i="1"/>
  <c r="AX56" i="1" s="1"/>
  <c r="AO56" i="1"/>
  <c r="AW56" i="1" s="1"/>
  <c r="AL56" i="1"/>
  <c r="AJ56" i="1"/>
  <c r="AH56" i="1"/>
  <c r="AG56" i="1"/>
  <c r="AF56" i="1"/>
  <c r="AC56" i="1"/>
  <c r="AB56" i="1"/>
  <c r="Z56" i="1"/>
  <c r="O56" i="1"/>
  <c r="BF56" i="1" s="1"/>
  <c r="L56" i="1"/>
  <c r="M56" i="1" s="1"/>
  <c r="BW55" i="1"/>
  <c r="BJ55" i="1"/>
  <c r="BD55" i="1"/>
  <c r="AP55" i="1"/>
  <c r="AO55" i="1"/>
  <c r="BH55" i="1" s="1"/>
  <c r="AD55" i="1" s="1"/>
  <c r="AL55" i="1"/>
  <c r="AJ55" i="1"/>
  <c r="AH55" i="1"/>
  <c r="AG55" i="1"/>
  <c r="AF55" i="1"/>
  <c r="AC55" i="1"/>
  <c r="AB55" i="1"/>
  <c r="Z55" i="1"/>
  <c r="O55" i="1"/>
  <c r="BF55" i="1" s="1"/>
  <c r="L55" i="1"/>
  <c r="M55" i="1" s="1"/>
  <c r="BW54" i="1"/>
  <c r="BJ54" i="1"/>
  <c r="BD54" i="1"/>
  <c r="AP54" i="1"/>
  <c r="AX54" i="1" s="1"/>
  <c r="AO54" i="1"/>
  <c r="AL54" i="1"/>
  <c r="AJ54" i="1"/>
  <c r="AH54" i="1"/>
  <c r="AG54" i="1"/>
  <c r="AF54" i="1"/>
  <c r="AC54" i="1"/>
  <c r="AB54" i="1"/>
  <c r="Z54" i="1"/>
  <c r="O54" i="1"/>
  <c r="BF54" i="1" s="1"/>
  <c r="L54" i="1"/>
  <c r="M54" i="1" s="1"/>
  <c r="K54" i="1"/>
  <c r="J54" i="1"/>
  <c r="BW53" i="1"/>
  <c r="BJ53" i="1"/>
  <c r="BD53" i="1"/>
  <c r="AP53" i="1"/>
  <c r="AX53" i="1" s="1"/>
  <c r="AO53" i="1"/>
  <c r="AW53" i="1" s="1"/>
  <c r="AL53" i="1"/>
  <c r="AJ53" i="1"/>
  <c r="AH53" i="1"/>
  <c r="AG53" i="1"/>
  <c r="AF53" i="1"/>
  <c r="AC53" i="1"/>
  <c r="AB53" i="1"/>
  <c r="Z53" i="1"/>
  <c r="O53" i="1"/>
  <c r="BF53" i="1" s="1"/>
  <c r="L53" i="1"/>
  <c r="M53" i="1" s="1"/>
  <c r="BW52" i="1"/>
  <c r="BJ52" i="1"/>
  <c r="BD52" i="1"/>
  <c r="AP52" i="1"/>
  <c r="AX52" i="1" s="1"/>
  <c r="AO52" i="1"/>
  <c r="BH52" i="1" s="1"/>
  <c r="AD52" i="1" s="1"/>
  <c r="AL52" i="1"/>
  <c r="AJ52" i="1"/>
  <c r="AH52" i="1"/>
  <c r="AG52" i="1"/>
  <c r="AF52" i="1"/>
  <c r="AC52" i="1"/>
  <c r="AB52" i="1"/>
  <c r="Z52" i="1"/>
  <c r="O52" i="1"/>
  <c r="BF52" i="1" s="1"/>
  <c r="L52" i="1"/>
  <c r="M52" i="1" s="1"/>
  <c r="K52" i="1"/>
  <c r="BW51" i="1"/>
  <c r="BJ51" i="1"/>
  <c r="BD51" i="1"/>
  <c r="AP51" i="1"/>
  <c r="BI51" i="1" s="1"/>
  <c r="AE51" i="1" s="1"/>
  <c r="AO51" i="1"/>
  <c r="AW51" i="1" s="1"/>
  <c r="AL51" i="1"/>
  <c r="AJ51" i="1"/>
  <c r="AH51" i="1"/>
  <c r="AG51" i="1"/>
  <c r="AF51" i="1"/>
  <c r="AC51" i="1"/>
  <c r="AB51" i="1"/>
  <c r="Z51" i="1"/>
  <c r="O51" i="1"/>
  <c r="BF51" i="1" s="1"/>
  <c r="L51" i="1"/>
  <c r="M51" i="1" s="1"/>
  <c r="K51" i="1"/>
  <c r="J51" i="1"/>
  <c r="BW50" i="1"/>
  <c r="BJ50" i="1"/>
  <c r="BD50" i="1"/>
  <c r="AP50" i="1"/>
  <c r="AX50" i="1" s="1"/>
  <c r="AO50" i="1"/>
  <c r="AW50" i="1" s="1"/>
  <c r="AL50" i="1"/>
  <c r="AJ50" i="1"/>
  <c r="AH50" i="1"/>
  <c r="AG50" i="1"/>
  <c r="AF50" i="1"/>
  <c r="AC50" i="1"/>
  <c r="AB50" i="1"/>
  <c r="Z50" i="1"/>
  <c r="O50" i="1"/>
  <c r="BF50" i="1" s="1"/>
  <c r="L50" i="1"/>
  <c r="M50" i="1" s="1"/>
  <c r="BW49" i="1"/>
  <c r="BJ49" i="1"/>
  <c r="BD49" i="1"/>
  <c r="AP49" i="1"/>
  <c r="AO49" i="1"/>
  <c r="BH49" i="1" s="1"/>
  <c r="AD49" i="1" s="1"/>
  <c r="AL49" i="1"/>
  <c r="AJ49" i="1"/>
  <c r="AH49" i="1"/>
  <c r="AG49" i="1"/>
  <c r="AF49" i="1"/>
  <c r="AC49" i="1"/>
  <c r="AB49" i="1"/>
  <c r="Z49" i="1"/>
  <c r="O49" i="1"/>
  <c r="BF49" i="1" s="1"/>
  <c r="L49" i="1"/>
  <c r="M49" i="1" s="1"/>
  <c r="BW48" i="1"/>
  <c r="BJ48" i="1"/>
  <c r="BD48" i="1"/>
  <c r="AP48" i="1"/>
  <c r="BI48" i="1" s="1"/>
  <c r="AE48" i="1" s="1"/>
  <c r="AO48" i="1"/>
  <c r="AL48" i="1"/>
  <c r="AJ48" i="1"/>
  <c r="AH48" i="1"/>
  <c r="AG48" i="1"/>
  <c r="AF48" i="1"/>
  <c r="AC48" i="1"/>
  <c r="AB48" i="1"/>
  <c r="Z48" i="1"/>
  <c r="O48" i="1"/>
  <c r="BF48" i="1" s="1"/>
  <c r="L48" i="1"/>
  <c r="M48" i="1" s="1"/>
  <c r="J48" i="1"/>
  <c r="BW47" i="1"/>
  <c r="BJ47" i="1"/>
  <c r="BD47" i="1"/>
  <c r="AP47" i="1"/>
  <c r="AX47" i="1" s="1"/>
  <c r="AO47" i="1"/>
  <c r="AW47" i="1" s="1"/>
  <c r="AL47" i="1"/>
  <c r="AJ47" i="1"/>
  <c r="AH47" i="1"/>
  <c r="AG47" i="1"/>
  <c r="AF47" i="1"/>
  <c r="AC47" i="1"/>
  <c r="AB47" i="1"/>
  <c r="Z47" i="1"/>
  <c r="O47" i="1"/>
  <c r="BF47" i="1" s="1"/>
  <c r="L47" i="1"/>
  <c r="M47" i="1" s="1"/>
  <c r="BW46" i="1"/>
  <c r="BJ46" i="1"/>
  <c r="BD46" i="1"/>
  <c r="AP46" i="1"/>
  <c r="AX46" i="1" s="1"/>
  <c r="AO46" i="1"/>
  <c r="BH46" i="1" s="1"/>
  <c r="AD46" i="1" s="1"/>
  <c r="AL46" i="1"/>
  <c r="AJ46" i="1"/>
  <c r="AH46" i="1"/>
  <c r="AG46" i="1"/>
  <c r="AF46" i="1"/>
  <c r="AC46" i="1"/>
  <c r="AB46" i="1"/>
  <c r="Z46" i="1"/>
  <c r="O46" i="1"/>
  <c r="BF46" i="1" s="1"/>
  <c r="L46" i="1"/>
  <c r="M46" i="1" s="1"/>
  <c r="K46" i="1"/>
  <c r="BW45" i="1"/>
  <c r="BJ45" i="1"/>
  <c r="BD45" i="1"/>
  <c r="AP45" i="1"/>
  <c r="BI45" i="1" s="1"/>
  <c r="AE45" i="1" s="1"/>
  <c r="AO45" i="1"/>
  <c r="AW45" i="1" s="1"/>
  <c r="AL45" i="1"/>
  <c r="AJ45" i="1"/>
  <c r="AH45" i="1"/>
  <c r="AG45" i="1"/>
  <c r="AF45" i="1"/>
  <c r="AC45" i="1"/>
  <c r="AB45" i="1"/>
  <c r="Z45" i="1"/>
  <c r="O45" i="1"/>
  <c r="BF45" i="1" s="1"/>
  <c r="L45" i="1"/>
  <c r="AK45" i="1" s="1"/>
  <c r="K45" i="1"/>
  <c r="J45" i="1"/>
  <c r="BW44" i="1"/>
  <c r="BJ44" i="1"/>
  <c r="BD44" i="1"/>
  <c r="AP44" i="1"/>
  <c r="AX44" i="1" s="1"/>
  <c r="AO44" i="1"/>
  <c r="AW44" i="1" s="1"/>
  <c r="AL44" i="1"/>
  <c r="AJ44" i="1"/>
  <c r="AH44" i="1"/>
  <c r="AG44" i="1"/>
  <c r="AF44" i="1"/>
  <c r="AC44" i="1"/>
  <c r="AB44" i="1"/>
  <c r="Z44" i="1"/>
  <c r="O44" i="1"/>
  <c r="BF44" i="1" s="1"/>
  <c r="L44" i="1"/>
  <c r="M44" i="1" s="1"/>
  <c r="BW43" i="1"/>
  <c r="BJ43" i="1"/>
  <c r="BD43" i="1"/>
  <c r="AP43" i="1"/>
  <c r="AO43" i="1"/>
  <c r="BH43" i="1" s="1"/>
  <c r="AD43" i="1" s="1"/>
  <c r="AL43" i="1"/>
  <c r="AJ43" i="1"/>
  <c r="AH43" i="1"/>
  <c r="AG43" i="1"/>
  <c r="AF43" i="1"/>
  <c r="AC43" i="1"/>
  <c r="AB43" i="1"/>
  <c r="Z43" i="1"/>
  <c r="O43" i="1"/>
  <c r="BF43" i="1" s="1"/>
  <c r="L43" i="1"/>
  <c r="M43" i="1" s="1"/>
  <c r="BW42" i="1"/>
  <c r="BJ42" i="1"/>
  <c r="BD42" i="1"/>
  <c r="AP42" i="1"/>
  <c r="BI42" i="1" s="1"/>
  <c r="AE42" i="1" s="1"/>
  <c r="AO42" i="1"/>
  <c r="AL42" i="1"/>
  <c r="AJ42" i="1"/>
  <c r="AH42" i="1"/>
  <c r="AG42" i="1"/>
  <c r="AF42" i="1"/>
  <c r="AC42" i="1"/>
  <c r="AB42" i="1"/>
  <c r="Z42" i="1"/>
  <c r="O42" i="1"/>
  <c r="BF42" i="1" s="1"/>
  <c r="L42" i="1"/>
  <c r="M42" i="1" s="1"/>
  <c r="J42" i="1"/>
  <c r="BW41" i="1"/>
  <c r="BJ41" i="1"/>
  <c r="BD41" i="1"/>
  <c r="AP41" i="1"/>
  <c r="AX41" i="1" s="1"/>
  <c r="AO41" i="1"/>
  <c r="AW41" i="1" s="1"/>
  <c r="AL41" i="1"/>
  <c r="AJ41" i="1"/>
  <c r="AH41" i="1"/>
  <c r="AG41" i="1"/>
  <c r="AF41" i="1"/>
  <c r="AC41" i="1"/>
  <c r="AB41" i="1"/>
  <c r="Z41" i="1"/>
  <c r="O41" i="1"/>
  <c r="BF41" i="1" s="1"/>
  <c r="L41" i="1"/>
  <c r="M41" i="1" s="1"/>
  <c r="BW40" i="1"/>
  <c r="BJ40" i="1"/>
  <c r="BD40" i="1"/>
  <c r="AP40" i="1"/>
  <c r="AX40" i="1" s="1"/>
  <c r="AO40" i="1"/>
  <c r="BH40" i="1" s="1"/>
  <c r="AD40" i="1" s="1"/>
  <c r="AL40" i="1"/>
  <c r="AJ40" i="1"/>
  <c r="AH40" i="1"/>
  <c r="AG40" i="1"/>
  <c r="AF40" i="1"/>
  <c r="AC40" i="1"/>
  <c r="AB40" i="1"/>
  <c r="Z40" i="1"/>
  <c r="O40" i="1"/>
  <c r="BF40" i="1" s="1"/>
  <c r="L40" i="1"/>
  <c r="M40" i="1" s="1"/>
  <c r="K40" i="1"/>
  <c r="BW39" i="1"/>
  <c r="BJ39" i="1"/>
  <c r="BD39" i="1"/>
  <c r="AP39" i="1"/>
  <c r="BI39" i="1" s="1"/>
  <c r="AE39" i="1" s="1"/>
  <c r="AO39" i="1"/>
  <c r="AW39" i="1" s="1"/>
  <c r="AL39" i="1"/>
  <c r="AJ39" i="1"/>
  <c r="AH39" i="1"/>
  <c r="AG39" i="1"/>
  <c r="AF39" i="1"/>
  <c r="AC39" i="1"/>
  <c r="AB39" i="1"/>
  <c r="Z39" i="1"/>
  <c r="O39" i="1"/>
  <c r="BF39" i="1" s="1"/>
  <c r="L39" i="1"/>
  <c r="M39" i="1" s="1"/>
  <c r="K39" i="1"/>
  <c r="J39" i="1"/>
  <c r="BW38" i="1"/>
  <c r="BJ38" i="1"/>
  <c r="BD38" i="1"/>
  <c r="AP38" i="1"/>
  <c r="AX38" i="1" s="1"/>
  <c r="AO38" i="1"/>
  <c r="AW38" i="1" s="1"/>
  <c r="AL38" i="1"/>
  <c r="AJ38" i="1"/>
  <c r="AH38" i="1"/>
  <c r="AG38" i="1"/>
  <c r="AF38" i="1"/>
  <c r="AC38" i="1"/>
  <c r="AB38" i="1"/>
  <c r="Z38" i="1"/>
  <c r="O38" i="1"/>
  <c r="BF38" i="1" s="1"/>
  <c r="L38" i="1"/>
  <c r="M38" i="1" s="1"/>
  <c r="L37" i="1"/>
  <c r="BW36" i="1"/>
  <c r="BJ36" i="1"/>
  <c r="BD36" i="1"/>
  <c r="AP36" i="1"/>
  <c r="AO36" i="1"/>
  <c r="AW36" i="1" s="1"/>
  <c r="AL36" i="1"/>
  <c r="AJ36" i="1"/>
  <c r="AH36" i="1"/>
  <c r="AG36" i="1"/>
  <c r="AF36" i="1"/>
  <c r="AC36" i="1"/>
  <c r="AB36" i="1"/>
  <c r="Z36" i="1"/>
  <c r="O36" i="1"/>
  <c r="BF36" i="1" s="1"/>
  <c r="L36" i="1"/>
  <c r="M36" i="1" s="1"/>
  <c r="BW35" i="1"/>
  <c r="BJ35" i="1"/>
  <c r="BD35" i="1"/>
  <c r="AP35" i="1"/>
  <c r="BI35" i="1" s="1"/>
  <c r="AE35" i="1" s="1"/>
  <c r="AO35" i="1"/>
  <c r="BH35" i="1" s="1"/>
  <c r="AD35" i="1" s="1"/>
  <c r="AL35" i="1"/>
  <c r="AJ35" i="1"/>
  <c r="AH35" i="1"/>
  <c r="AG35" i="1"/>
  <c r="AF35" i="1"/>
  <c r="AC35" i="1"/>
  <c r="AB35" i="1"/>
  <c r="Z35" i="1"/>
  <c r="O35" i="1"/>
  <c r="BF35" i="1" s="1"/>
  <c r="L35" i="1"/>
  <c r="M35" i="1" s="1"/>
  <c r="K35" i="1"/>
  <c r="BW34" i="1"/>
  <c r="BJ34" i="1"/>
  <c r="BD34" i="1"/>
  <c r="AP34" i="1"/>
  <c r="BI34" i="1" s="1"/>
  <c r="AE34" i="1" s="1"/>
  <c r="AO34" i="1"/>
  <c r="AW34" i="1" s="1"/>
  <c r="AL34" i="1"/>
  <c r="AJ34" i="1"/>
  <c r="AH34" i="1"/>
  <c r="AG34" i="1"/>
  <c r="AF34" i="1"/>
  <c r="AC34" i="1"/>
  <c r="AB34" i="1"/>
  <c r="Z34" i="1"/>
  <c r="O34" i="1"/>
  <c r="BF34" i="1" s="1"/>
  <c r="L34" i="1"/>
  <c r="AK34" i="1" s="1"/>
  <c r="J34" i="1"/>
  <c r="BW33" i="1"/>
  <c r="BJ33" i="1"/>
  <c r="BD33" i="1"/>
  <c r="AP33" i="1"/>
  <c r="BI33" i="1" s="1"/>
  <c r="AE33" i="1" s="1"/>
  <c r="AO33" i="1"/>
  <c r="AW33" i="1" s="1"/>
  <c r="AL33" i="1"/>
  <c r="AJ33" i="1"/>
  <c r="AH33" i="1"/>
  <c r="AG33" i="1"/>
  <c r="AF33" i="1"/>
  <c r="AC33" i="1"/>
  <c r="AB33" i="1"/>
  <c r="Z33" i="1"/>
  <c r="O33" i="1"/>
  <c r="BF33" i="1" s="1"/>
  <c r="L33" i="1"/>
  <c r="M33" i="1" s="1"/>
  <c r="BW32" i="1"/>
  <c r="BJ32" i="1"/>
  <c r="BD32" i="1"/>
  <c r="AP32" i="1"/>
  <c r="AO32" i="1"/>
  <c r="AW32" i="1" s="1"/>
  <c r="AL32" i="1"/>
  <c r="AJ32" i="1"/>
  <c r="AH32" i="1"/>
  <c r="AG32" i="1"/>
  <c r="AF32" i="1"/>
  <c r="AC32" i="1"/>
  <c r="AB32" i="1"/>
  <c r="Z32" i="1"/>
  <c r="O32" i="1"/>
  <c r="BF32" i="1" s="1"/>
  <c r="L32" i="1"/>
  <c r="M32" i="1" s="1"/>
  <c r="K32" i="1"/>
  <c r="BW31" i="1"/>
  <c r="BJ31" i="1"/>
  <c r="BD31" i="1"/>
  <c r="AP31" i="1"/>
  <c r="AO31" i="1"/>
  <c r="AL31" i="1"/>
  <c r="AJ31" i="1"/>
  <c r="AH31" i="1"/>
  <c r="AG31" i="1"/>
  <c r="AF31" i="1"/>
  <c r="AC31" i="1"/>
  <c r="AB31" i="1"/>
  <c r="Z31" i="1"/>
  <c r="O31" i="1"/>
  <c r="BF31" i="1" s="1"/>
  <c r="L31" i="1"/>
  <c r="M31" i="1" s="1"/>
  <c r="K31" i="1"/>
  <c r="J31" i="1"/>
  <c r="BW30" i="1"/>
  <c r="BJ30" i="1"/>
  <c r="BD30" i="1"/>
  <c r="AP30" i="1"/>
  <c r="BI30" i="1" s="1"/>
  <c r="AE30" i="1" s="1"/>
  <c r="AO30" i="1"/>
  <c r="AW30" i="1" s="1"/>
  <c r="AL30" i="1"/>
  <c r="AJ30" i="1"/>
  <c r="AH30" i="1"/>
  <c r="AG30" i="1"/>
  <c r="AF30" i="1"/>
  <c r="AC30" i="1"/>
  <c r="AB30" i="1"/>
  <c r="Z30" i="1"/>
  <c r="O30" i="1"/>
  <c r="BF30" i="1" s="1"/>
  <c r="L30" i="1"/>
  <c r="M30" i="1" s="1"/>
  <c r="BW29" i="1"/>
  <c r="BJ29" i="1"/>
  <c r="BD29" i="1"/>
  <c r="AP29" i="1"/>
  <c r="K29" i="1" s="1"/>
  <c r="AO29" i="1"/>
  <c r="J29" i="1" s="1"/>
  <c r="AL29" i="1"/>
  <c r="AJ29" i="1"/>
  <c r="AH29" i="1"/>
  <c r="AG29" i="1"/>
  <c r="AF29" i="1"/>
  <c r="AC29" i="1"/>
  <c r="AB29" i="1"/>
  <c r="Z29" i="1"/>
  <c r="O29" i="1"/>
  <c r="BF29" i="1" s="1"/>
  <c r="L29" i="1"/>
  <c r="M29" i="1" s="1"/>
  <c r="BW28" i="1"/>
  <c r="BJ28" i="1"/>
  <c r="BD28" i="1"/>
  <c r="AP28" i="1"/>
  <c r="BI28" i="1" s="1"/>
  <c r="AE28" i="1" s="1"/>
  <c r="AO28" i="1"/>
  <c r="AW28" i="1" s="1"/>
  <c r="AL28" i="1"/>
  <c r="AJ28" i="1"/>
  <c r="AH28" i="1"/>
  <c r="AG28" i="1"/>
  <c r="AF28" i="1"/>
  <c r="AC28" i="1"/>
  <c r="AB28" i="1"/>
  <c r="Z28" i="1"/>
  <c r="O28" i="1"/>
  <c r="BF28" i="1" s="1"/>
  <c r="L28" i="1"/>
  <c r="AK28" i="1" s="1"/>
  <c r="K28" i="1"/>
  <c r="BW27" i="1"/>
  <c r="BJ27" i="1"/>
  <c r="BD27" i="1"/>
  <c r="AP27" i="1"/>
  <c r="AO27" i="1"/>
  <c r="AW27" i="1" s="1"/>
  <c r="AL27" i="1"/>
  <c r="AJ27" i="1"/>
  <c r="AH27" i="1"/>
  <c r="AG27" i="1"/>
  <c r="AF27" i="1"/>
  <c r="AC27" i="1"/>
  <c r="AB27" i="1"/>
  <c r="Z27" i="1"/>
  <c r="O27" i="1"/>
  <c r="BF27" i="1" s="1"/>
  <c r="L27" i="1"/>
  <c r="M27" i="1" s="1"/>
  <c r="BW26" i="1"/>
  <c r="BJ26" i="1"/>
  <c r="BD26" i="1"/>
  <c r="AP26" i="1"/>
  <c r="AX26" i="1" s="1"/>
  <c r="AO26" i="1"/>
  <c r="BH26" i="1" s="1"/>
  <c r="AD26" i="1" s="1"/>
  <c r="AL26" i="1"/>
  <c r="AJ26" i="1"/>
  <c r="AH26" i="1"/>
  <c r="AG26" i="1"/>
  <c r="AF26" i="1"/>
  <c r="AC26" i="1"/>
  <c r="AB26" i="1"/>
  <c r="Z26" i="1"/>
  <c r="O26" i="1"/>
  <c r="BF26" i="1" s="1"/>
  <c r="L26" i="1"/>
  <c r="M26" i="1" s="1"/>
  <c r="K26" i="1"/>
  <c r="BW25" i="1"/>
  <c r="BJ25" i="1"/>
  <c r="BD25" i="1"/>
  <c r="AP25" i="1"/>
  <c r="AO25" i="1"/>
  <c r="AL25" i="1"/>
  <c r="AJ25" i="1"/>
  <c r="AH25" i="1"/>
  <c r="AG25" i="1"/>
  <c r="AF25" i="1"/>
  <c r="AC25" i="1"/>
  <c r="AB25" i="1"/>
  <c r="Z25" i="1"/>
  <c r="O25" i="1"/>
  <c r="BF25" i="1" s="1"/>
  <c r="L25" i="1"/>
  <c r="AK25" i="1" s="1"/>
  <c r="K25" i="1"/>
  <c r="J25" i="1"/>
  <c r="BW24" i="1"/>
  <c r="BJ24" i="1"/>
  <c r="BD24" i="1"/>
  <c r="AP24" i="1"/>
  <c r="BI24" i="1" s="1"/>
  <c r="AE24" i="1" s="1"/>
  <c r="AO24" i="1"/>
  <c r="AW24" i="1" s="1"/>
  <c r="AL24" i="1"/>
  <c r="AJ24" i="1"/>
  <c r="AH24" i="1"/>
  <c r="AG24" i="1"/>
  <c r="AF24" i="1"/>
  <c r="AC24" i="1"/>
  <c r="AB24" i="1"/>
  <c r="Z24" i="1"/>
  <c r="O24" i="1"/>
  <c r="BF24" i="1" s="1"/>
  <c r="L24" i="1"/>
  <c r="M24" i="1" s="1"/>
  <c r="BW23" i="1"/>
  <c r="BJ23" i="1"/>
  <c r="BD23" i="1"/>
  <c r="AP23" i="1"/>
  <c r="AO23" i="1"/>
  <c r="J23" i="1" s="1"/>
  <c r="AL23" i="1"/>
  <c r="AJ23" i="1"/>
  <c r="AH23" i="1"/>
  <c r="AG23" i="1"/>
  <c r="AF23" i="1"/>
  <c r="AC23" i="1"/>
  <c r="AB23" i="1"/>
  <c r="Z23" i="1"/>
  <c r="O23" i="1"/>
  <c r="BF23" i="1" s="1"/>
  <c r="L23" i="1"/>
  <c r="M23" i="1" s="1"/>
  <c r="K23" i="1"/>
  <c r="BW22" i="1"/>
  <c r="BJ22" i="1"/>
  <c r="BD22" i="1"/>
  <c r="AP22" i="1"/>
  <c r="AX22" i="1" s="1"/>
  <c r="AO22" i="1"/>
  <c r="AW22" i="1" s="1"/>
  <c r="AL22" i="1"/>
  <c r="AJ22" i="1"/>
  <c r="AH22" i="1"/>
  <c r="AG22" i="1"/>
  <c r="AF22" i="1"/>
  <c r="AC22" i="1"/>
  <c r="AB22" i="1"/>
  <c r="Z22" i="1"/>
  <c r="O22" i="1"/>
  <c r="BF22" i="1" s="1"/>
  <c r="L22" i="1"/>
  <c r="M22" i="1" s="1"/>
  <c r="K22" i="1"/>
  <c r="J22" i="1"/>
  <c r="BW21" i="1"/>
  <c r="BJ21" i="1"/>
  <c r="BD21" i="1"/>
  <c r="AP21" i="1"/>
  <c r="K21" i="1" s="1"/>
  <c r="AO21" i="1"/>
  <c r="AW21" i="1" s="1"/>
  <c r="AL21" i="1"/>
  <c r="AJ21" i="1"/>
  <c r="AH21" i="1"/>
  <c r="AG21" i="1"/>
  <c r="AF21" i="1"/>
  <c r="AC21" i="1"/>
  <c r="AB21" i="1"/>
  <c r="Z21" i="1"/>
  <c r="O21" i="1"/>
  <c r="BF21" i="1" s="1"/>
  <c r="L21" i="1"/>
  <c r="M21" i="1" s="1"/>
  <c r="BW20" i="1"/>
  <c r="BJ20" i="1"/>
  <c r="BD20" i="1"/>
  <c r="AP20" i="1"/>
  <c r="BI20" i="1" s="1"/>
  <c r="AE20" i="1" s="1"/>
  <c r="AO20" i="1"/>
  <c r="BH20" i="1" s="1"/>
  <c r="AD20" i="1" s="1"/>
  <c r="AL20" i="1"/>
  <c r="AU19" i="1" s="1"/>
  <c r="AJ20" i="1"/>
  <c r="AH20" i="1"/>
  <c r="AG20" i="1"/>
  <c r="AF20" i="1"/>
  <c r="AC20" i="1"/>
  <c r="AB20" i="1"/>
  <c r="Z20" i="1"/>
  <c r="O20" i="1"/>
  <c r="BF20" i="1" s="1"/>
  <c r="L20" i="1"/>
  <c r="O19" i="1"/>
  <c r="BW18" i="1"/>
  <c r="BJ18" i="1"/>
  <c r="BD18" i="1"/>
  <c r="AP18" i="1"/>
  <c r="BI18" i="1" s="1"/>
  <c r="AE18" i="1" s="1"/>
  <c r="AO18" i="1"/>
  <c r="AW18" i="1" s="1"/>
  <c r="AL18" i="1"/>
  <c r="AJ18" i="1"/>
  <c r="AH18" i="1"/>
  <c r="AG18" i="1"/>
  <c r="AF18" i="1"/>
  <c r="AC18" i="1"/>
  <c r="AB18" i="1"/>
  <c r="Z18" i="1"/>
  <c r="O18" i="1"/>
  <c r="BF18" i="1" s="1"/>
  <c r="L18" i="1"/>
  <c r="M18" i="1" s="1"/>
  <c r="BW17" i="1"/>
  <c r="BJ17" i="1"/>
  <c r="BD17" i="1"/>
  <c r="AP17" i="1"/>
  <c r="AX17" i="1" s="1"/>
  <c r="AO17" i="1"/>
  <c r="AW17" i="1" s="1"/>
  <c r="AL17" i="1"/>
  <c r="AJ17" i="1"/>
  <c r="AH17" i="1"/>
  <c r="AG17" i="1"/>
  <c r="AF17" i="1"/>
  <c r="AC17" i="1"/>
  <c r="AB17" i="1"/>
  <c r="Z17" i="1"/>
  <c r="O17" i="1"/>
  <c r="BF17" i="1" s="1"/>
  <c r="L17" i="1"/>
  <c r="AK17" i="1" s="1"/>
  <c r="K17" i="1"/>
  <c r="J17" i="1"/>
  <c r="BW16" i="1"/>
  <c r="BJ16" i="1"/>
  <c r="BD16" i="1"/>
  <c r="AP16" i="1"/>
  <c r="BI16" i="1" s="1"/>
  <c r="AE16" i="1" s="1"/>
  <c r="AO16" i="1"/>
  <c r="BH16" i="1" s="1"/>
  <c r="AD16" i="1" s="1"/>
  <c r="AL16" i="1"/>
  <c r="AJ16" i="1"/>
  <c r="AH16" i="1"/>
  <c r="AG16" i="1"/>
  <c r="AF16" i="1"/>
  <c r="AC16" i="1"/>
  <c r="AB16" i="1"/>
  <c r="Z16" i="1"/>
  <c r="O16" i="1"/>
  <c r="BF16" i="1" s="1"/>
  <c r="L16" i="1"/>
  <c r="AK16" i="1" s="1"/>
  <c r="K16" i="1"/>
  <c r="BW15" i="1"/>
  <c r="BJ15" i="1"/>
  <c r="BD15" i="1"/>
  <c r="AP15" i="1"/>
  <c r="BI15" i="1" s="1"/>
  <c r="AE15" i="1" s="1"/>
  <c r="AO15" i="1"/>
  <c r="AL15" i="1"/>
  <c r="AJ15" i="1"/>
  <c r="AH15" i="1"/>
  <c r="AG15" i="1"/>
  <c r="AF15" i="1"/>
  <c r="AC15" i="1"/>
  <c r="AB15" i="1"/>
  <c r="Z15" i="1"/>
  <c r="O15" i="1"/>
  <c r="BF15" i="1" s="1"/>
  <c r="L15" i="1"/>
  <c r="O14" i="1"/>
  <c r="BW13" i="1"/>
  <c r="BJ13" i="1"/>
  <c r="BD13" i="1"/>
  <c r="AP13" i="1"/>
  <c r="AX13" i="1" s="1"/>
  <c r="AO13" i="1"/>
  <c r="AL13" i="1"/>
  <c r="AJ13" i="1"/>
  <c r="AS12" i="1" s="1"/>
  <c r="AH13" i="1"/>
  <c r="AG13" i="1"/>
  <c r="AF13" i="1"/>
  <c r="AC13" i="1"/>
  <c r="AB13" i="1"/>
  <c r="Z13" i="1"/>
  <c r="O13" i="1"/>
  <c r="O12" i="1" s="1"/>
  <c r="L13" i="1"/>
  <c r="L12" i="1" s="1"/>
  <c r="AU1" i="1"/>
  <c r="AT1" i="1"/>
  <c r="AS1" i="1"/>
  <c r="M13" i="1" l="1"/>
  <c r="M12" i="1" s="1"/>
  <c r="BH15" i="1"/>
  <c r="AD15" i="1" s="1"/>
  <c r="AW15" i="1"/>
  <c r="AS14" i="1"/>
  <c r="BI23" i="1"/>
  <c r="AE23" i="1" s="1"/>
  <c r="AX23" i="1"/>
  <c r="AW25" i="1"/>
  <c r="BH25" i="1"/>
  <c r="AD25" i="1" s="1"/>
  <c r="AX25" i="1"/>
  <c r="BI25" i="1"/>
  <c r="AE25" i="1" s="1"/>
  <c r="BI27" i="1"/>
  <c r="AE27" i="1" s="1"/>
  <c r="AX27" i="1"/>
  <c r="AW31" i="1"/>
  <c r="BH31" i="1"/>
  <c r="AD31" i="1" s="1"/>
  <c r="BI31" i="1"/>
  <c r="AE31" i="1" s="1"/>
  <c r="AX31" i="1"/>
  <c r="BI32" i="1"/>
  <c r="AE32" i="1" s="1"/>
  <c r="AX32" i="1"/>
  <c r="K36" i="1"/>
  <c r="AX36" i="1"/>
  <c r="AS37" i="1"/>
  <c r="AU37" i="1"/>
  <c r="AW42" i="1"/>
  <c r="BH42" i="1"/>
  <c r="AD42" i="1" s="1"/>
  <c r="AX43" i="1"/>
  <c r="BI43" i="1"/>
  <c r="AE43" i="1" s="1"/>
  <c r="AW48" i="1"/>
  <c r="BH48" i="1"/>
  <c r="AD48" i="1" s="1"/>
  <c r="AX49" i="1"/>
  <c r="BI49" i="1"/>
  <c r="AE49" i="1" s="1"/>
  <c r="AW54" i="1"/>
  <c r="BH54" i="1"/>
  <c r="AD54" i="1" s="1"/>
  <c r="AX55" i="1"/>
  <c r="BI55" i="1"/>
  <c r="AE55" i="1" s="1"/>
  <c r="AW60" i="1"/>
  <c r="BH60" i="1"/>
  <c r="AD60" i="1" s="1"/>
  <c r="AX61" i="1"/>
  <c r="BI61" i="1"/>
  <c r="AE61" i="1" s="1"/>
  <c r="AW65" i="1"/>
  <c r="BH65" i="1"/>
  <c r="AD65" i="1" s="1"/>
  <c r="BI65" i="1"/>
  <c r="AE65" i="1" s="1"/>
  <c r="AX65" i="1"/>
  <c r="BI66" i="1"/>
  <c r="AE66" i="1" s="1"/>
  <c r="AX66" i="1"/>
  <c r="AW71" i="1"/>
  <c r="BH71" i="1"/>
  <c r="AD71" i="1" s="1"/>
  <c r="BI71" i="1"/>
  <c r="AE71" i="1" s="1"/>
  <c r="AX71" i="1"/>
  <c r="AW73" i="1"/>
  <c r="BH73" i="1"/>
  <c r="AD73" i="1" s="1"/>
  <c r="AX73" i="1"/>
  <c r="BI73" i="1"/>
  <c r="AE73" i="1" s="1"/>
  <c r="AU72" i="1"/>
  <c r="O72" i="1"/>
  <c r="BI77" i="1"/>
  <c r="AE77" i="1" s="1"/>
  <c r="AX77" i="1"/>
  <c r="AW79" i="1"/>
  <c r="BH79" i="1"/>
  <c r="AD79" i="1" s="1"/>
  <c r="AX79" i="1"/>
  <c r="BI79" i="1"/>
  <c r="AE79" i="1" s="1"/>
  <c r="BI83" i="1"/>
  <c r="AE83" i="1" s="1"/>
  <c r="AX83" i="1"/>
  <c r="AW85" i="1"/>
  <c r="BH85" i="1"/>
  <c r="AD85" i="1" s="1"/>
  <c r="AX85" i="1"/>
  <c r="BI85" i="1"/>
  <c r="AE85" i="1" s="1"/>
  <c r="BI89" i="1"/>
  <c r="AE89" i="1" s="1"/>
  <c r="AX89" i="1"/>
  <c r="AW91" i="1"/>
  <c r="BH91" i="1"/>
  <c r="AD91" i="1" s="1"/>
  <c r="AX91" i="1"/>
  <c r="BI91" i="1"/>
  <c r="AE91" i="1" s="1"/>
  <c r="AS93" i="1"/>
  <c r="AW96" i="1"/>
  <c r="BH96" i="1"/>
  <c r="AD96" i="1" s="1"/>
  <c r="AW98" i="1"/>
  <c r="BH98" i="1"/>
  <c r="AD98" i="1" s="1"/>
  <c r="BI98" i="1"/>
  <c r="AE98" i="1" s="1"/>
  <c r="AX98" i="1"/>
  <c r="AW102" i="1"/>
  <c r="BH102" i="1"/>
  <c r="AB102" i="1" s="1"/>
  <c r="AX104" i="1"/>
  <c r="BI104" i="1"/>
  <c r="AG104" i="1" s="1"/>
  <c r="I18" i="3"/>
  <c r="F29" i="3" s="1"/>
  <c r="AX42" i="1"/>
  <c r="BI60" i="1"/>
  <c r="AE60" i="1" s="1"/>
  <c r="BI69" i="1"/>
  <c r="AE69" i="1" s="1"/>
  <c r="BI40" i="1"/>
  <c r="AE40" i="1" s="1"/>
  <c r="BH88" i="1"/>
  <c r="AD88" i="1" s="1"/>
  <c r="AX92" i="1"/>
  <c r="K34" i="1"/>
  <c r="AX68" i="1"/>
  <c r="BC68" i="1" s="1"/>
  <c r="BI76" i="1"/>
  <c r="AE76" i="1" s="1"/>
  <c r="BI82" i="1"/>
  <c r="AE82" i="1" s="1"/>
  <c r="BI88" i="1"/>
  <c r="AE88" i="1" s="1"/>
  <c r="AS97" i="1"/>
  <c r="AX99" i="1"/>
  <c r="AX16" i="1"/>
  <c r="BI17" i="1"/>
  <c r="AE17" i="1" s="1"/>
  <c r="AX21" i="1"/>
  <c r="BH28" i="1"/>
  <c r="AD28" i="1" s="1"/>
  <c r="AX34" i="1"/>
  <c r="BC34" i="1" s="1"/>
  <c r="AX39" i="1"/>
  <c r="AV39" i="1" s="1"/>
  <c r="K43" i="1"/>
  <c r="AX45" i="1"/>
  <c r="AV45" i="1" s="1"/>
  <c r="K49" i="1"/>
  <c r="AX51" i="1"/>
  <c r="BC51" i="1" s="1"/>
  <c r="K55" i="1"/>
  <c r="AX57" i="1"/>
  <c r="K61" i="1"/>
  <c r="BI74" i="1"/>
  <c r="AE74" i="1" s="1"/>
  <c r="BI80" i="1"/>
  <c r="AE80" i="1" s="1"/>
  <c r="BI86" i="1"/>
  <c r="AE86" i="1" s="1"/>
  <c r="AU97" i="1"/>
  <c r="K42" i="1"/>
  <c r="K48" i="1"/>
  <c r="C19" i="2"/>
  <c r="J88" i="1"/>
  <c r="C20" i="2"/>
  <c r="AS19" i="1"/>
  <c r="AX35" i="1"/>
  <c r="AX82" i="1"/>
  <c r="AX94" i="1"/>
  <c r="BI101" i="1"/>
  <c r="AC101" i="1" s="1"/>
  <c r="L63" i="1"/>
  <c r="BH76" i="1"/>
  <c r="AD76" i="1" s="1"/>
  <c r="BH82" i="1"/>
  <c r="AD82" i="1" s="1"/>
  <c r="AW16" i="1"/>
  <c r="BI22" i="1"/>
  <c r="AE22" i="1" s="1"/>
  <c r="AX33" i="1"/>
  <c r="BC33" i="1" s="1"/>
  <c r="C27" i="2"/>
  <c r="AX58" i="1"/>
  <c r="BI54" i="1"/>
  <c r="AE54" i="1" s="1"/>
  <c r="BI96" i="1"/>
  <c r="AE96" i="1" s="1"/>
  <c r="M16" i="1"/>
  <c r="BH22" i="1"/>
  <c r="AD22" i="1" s="1"/>
  <c r="AX28" i="1"/>
  <c r="BI46" i="1"/>
  <c r="AE46" i="1" s="1"/>
  <c r="BH17" i="1"/>
  <c r="AD17" i="1" s="1"/>
  <c r="BI26" i="1"/>
  <c r="AE26" i="1" s="1"/>
  <c r="K73" i="1"/>
  <c r="C21" i="2"/>
  <c r="BI21" i="1"/>
  <c r="AE21" i="1" s="1"/>
  <c r="BH34" i="1"/>
  <c r="AD34" i="1" s="1"/>
  <c r="BH39" i="1"/>
  <c r="AD39" i="1" s="1"/>
  <c r="BH45" i="1"/>
  <c r="AD45" i="1" s="1"/>
  <c r="BH51" i="1"/>
  <c r="AD51" i="1" s="1"/>
  <c r="BH57" i="1"/>
  <c r="AD57" i="1" s="1"/>
  <c r="K97" i="1"/>
  <c r="AX48" i="1"/>
  <c r="BC48" i="1" s="1"/>
  <c r="J76" i="1"/>
  <c r="L93" i="1"/>
  <c r="L19" i="1"/>
  <c r="J28" i="1"/>
  <c r="J68" i="1"/>
  <c r="BI52" i="1"/>
  <c r="AE52" i="1" s="1"/>
  <c r="AS72" i="1"/>
  <c r="AX30" i="1"/>
  <c r="AS63" i="1"/>
  <c r="BH68" i="1"/>
  <c r="AD68" i="1" s="1"/>
  <c r="J98" i="1"/>
  <c r="AX29" i="1"/>
  <c r="AU14" i="1"/>
  <c r="BI29" i="1"/>
  <c r="AE29" i="1" s="1"/>
  <c r="C29" i="2"/>
  <c r="F29" i="2" s="1"/>
  <c r="AX24" i="1"/>
  <c r="BC24" i="1" s="1"/>
  <c r="L14" i="1"/>
  <c r="BC50" i="1"/>
  <c r="AV50" i="1"/>
  <c r="BC76" i="1"/>
  <c r="AV76" i="1"/>
  <c r="BC88" i="1"/>
  <c r="AV88" i="1"/>
  <c r="BC28" i="1"/>
  <c r="AV28" i="1"/>
  <c r="BC90" i="1"/>
  <c r="AV90" i="1"/>
  <c r="BC30" i="1"/>
  <c r="AV30" i="1"/>
  <c r="BC36" i="1"/>
  <c r="AV36" i="1"/>
  <c r="BC70" i="1"/>
  <c r="AV70" i="1"/>
  <c r="BC41" i="1"/>
  <c r="AV41" i="1"/>
  <c r="BC59" i="1"/>
  <c r="AV59" i="1"/>
  <c r="BC25" i="1"/>
  <c r="AV25" i="1"/>
  <c r="BC73" i="1"/>
  <c r="AV73" i="1"/>
  <c r="BC85" i="1"/>
  <c r="AV85" i="1"/>
  <c r="BC91" i="1"/>
  <c r="AV91" i="1"/>
  <c r="BC27" i="1"/>
  <c r="AV27" i="1"/>
  <c r="BC75" i="1"/>
  <c r="AV75" i="1"/>
  <c r="BC81" i="1"/>
  <c r="AV81" i="1"/>
  <c r="BC87" i="1"/>
  <c r="AV87" i="1"/>
  <c r="BC98" i="1"/>
  <c r="AV98" i="1"/>
  <c r="BC102" i="1"/>
  <c r="AV102" i="1"/>
  <c r="BC104" i="1"/>
  <c r="AV104" i="1"/>
  <c r="BC39" i="1"/>
  <c r="BC53" i="1"/>
  <c r="AV53" i="1"/>
  <c r="BC31" i="1"/>
  <c r="AV31" i="1"/>
  <c r="M72" i="1"/>
  <c r="BC17" i="1"/>
  <c r="AV17" i="1"/>
  <c r="BC22" i="1"/>
  <c r="AV22" i="1"/>
  <c r="BC44" i="1"/>
  <c r="AV44" i="1"/>
  <c r="BC56" i="1"/>
  <c r="AV56" i="1"/>
  <c r="BC84" i="1"/>
  <c r="AV84" i="1"/>
  <c r="BC21" i="1"/>
  <c r="AV21" i="1"/>
  <c r="BC32" i="1"/>
  <c r="AV32" i="1"/>
  <c r="BC45" i="1"/>
  <c r="BC57" i="1"/>
  <c r="AV57" i="1"/>
  <c r="BC47" i="1"/>
  <c r="AV47" i="1"/>
  <c r="BC95" i="1"/>
  <c r="AV95" i="1"/>
  <c r="M63" i="1"/>
  <c r="BC79" i="1"/>
  <c r="AV79" i="1"/>
  <c r="C14" i="2"/>
  <c r="BC65" i="1"/>
  <c r="AV65" i="1"/>
  <c r="BC71" i="1"/>
  <c r="AV71" i="1"/>
  <c r="M97" i="1"/>
  <c r="BC38" i="1"/>
  <c r="AV38" i="1"/>
  <c r="BC62" i="1"/>
  <c r="AV62" i="1"/>
  <c r="BC82" i="1"/>
  <c r="AV82" i="1"/>
  <c r="BC78" i="1"/>
  <c r="AV78" i="1"/>
  <c r="AW13" i="1"/>
  <c r="BH13" i="1"/>
  <c r="AD13" i="1" s="1"/>
  <c r="J13" i="1"/>
  <c r="J12" i="1" s="1"/>
  <c r="BC64" i="1"/>
  <c r="AV64" i="1"/>
  <c r="BC42" i="1"/>
  <c r="AV42" i="1"/>
  <c r="BC54" i="1"/>
  <c r="AV54" i="1"/>
  <c r="BC60" i="1"/>
  <c r="AV60" i="1"/>
  <c r="BC67" i="1"/>
  <c r="AV67" i="1"/>
  <c r="BC96" i="1"/>
  <c r="AV96" i="1"/>
  <c r="AU12" i="1"/>
  <c r="BF13" i="1"/>
  <c r="J15" i="1"/>
  <c r="J18" i="1"/>
  <c r="BH18" i="1"/>
  <c r="AD18" i="1" s="1"/>
  <c r="J20" i="1"/>
  <c r="BH23" i="1"/>
  <c r="AD23" i="1" s="1"/>
  <c r="J26" i="1"/>
  <c r="BH29" i="1"/>
  <c r="AD29" i="1" s="1"/>
  <c r="J32" i="1"/>
  <c r="BH32" i="1"/>
  <c r="AD32" i="1" s="1"/>
  <c r="J35" i="1"/>
  <c r="O37" i="1"/>
  <c r="K13" i="1"/>
  <c r="K12" i="1" s="1"/>
  <c r="BI13" i="1"/>
  <c r="AE13" i="1" s="1"/>
  <c r="AK13" i="1"/>
  <c r="AT12" i="1" s="1"/>
  <c r="AK15" i="1"/>
  <c r="AK18" i="1"/>
  <c r="AK20" i="1"/>
  <c r="AK23" i="1"/>
  <c r="AK26" i="1"/>
  <c r="AK29" i="1"/>
  <c r="AK32" i="1"/>
  <c r="AK35" i="1"/>
  <c r="AK40" i="1"/>
  <c r="AK43" i="1"/>
  <c r="AK46" i="1"/>
  <c r="AK49" i="1"/>
  <c r="AK52" i="1"/>
  <c r="AK55" i="1"/>
  <c r="AK58" i="1"/>
  <c r="AK61" i="1"/>
  <c r="AK66" i="1"/>
  <c r="AK69" i="1"/>
  <c r="L72" i="1"/>
  <c r="AK74" i="1"/>
  <c r="AK77" i="1"/>
  <c r="AK80" i="1"/>
  <c r="AK83" i="1"/>
  <c r="AK86" i="1"/>
  <c r="AK89" i="1"/>
  <c r="AK92" i="1"/>
  <c r="AK94" i="1"/>
  <c r="L97" i="1"/>
  <c r="AK99" i="1"/>
  <c r="AK101" i="1"/>
  <c r="M15" i="1"/>
  <c r="M20" i="1"/>
  <c r="BF64" i="1"/>
  <c r="BF75" i="1"/>
  <c r="M94" i="1"/>
  <c r="M93" i="1" s="1"/>
  <c r="M101" i="1"/>
  <c r="M100" i="1" s="1"/>
  <c r="J16" i="1"/>
  <c r="J21" i="1"/>
  <c r="BH21" i="1"/>
  <c r="AD21" i="1" s="1"/>
  <c r="J24" i="1"/>
  <c r="BH24" i="1"/>
  <c r="AD24" i="1" s="1"/>
  <c r="J27" i="1"/>
  <c r="BH27" i="1"/>
  <c r="AD27" i="1" s="1"/>
  <c r="J30" i="1"/>
  <c r="BH30" i="1"/>
  <c r="AD30" i="1" s="1"/>
  <c r="J33" i="1"/>
  <c r="BH33" i="1"/>
  <c r="AD33" i="1" s="1"/>
  <c r="J36" i="1"/>
  <c r="BH36" i="1"/>
  <c r="AD36" i="1" s="1"/>
  <c r="J38" i="1"/>
  <c r="BH38" i="1"/>
  <c r="AD38" i="1" s="1"/>
  <c r="J41" i="1"/>
  <c r="BH41" i="1"/>
  <c r="AD41" i="1" s="1"/>
  <c r="J44" i="1"/>
  <c r="BH44" i="1"/>
  <c r="AD44" i="1" s="1"/>
  <c r="J47" i="1"/>
  <c r="BH47" i="1"/>
  <c r="AD47" i="1" s="1"/>
  <c r="J50" i="1"/>
  <c r="BH50" i="1"/>
  <c r="AD50" i="1" s="1"/>
  <c r="J53" i="1"/>
  <c r="BH53" i="1"/>
  <c r="AD53" i="1" s="1"/>
  <c r="J56" i="1"/>
  <c r="BH56" i="1"/>
  <c r="AD56" i="1" s="1"/>
  <c r="J59" i="1"/>
  <c r="BH59" i="1"/>
  <c r="AD59" i="1" s="1"/>
  <c r="J62" i="1"/>
  <c r="BH62" i="1"/>
  <c r="AD62" i="1" s="1"/>
  <c r="J64" i="1"/>
  <c r="BH64" i="1"/>
  <c r="AD64" i="1" s="1"/>
  <c r="J67" i="1"/>
  <c r="BH67" i="1"/>
  <c r="AD67" i="1" s="1"/>
  <c r="J70" i="1"/>
  <c r="BH70" i="1"/>
  <c r="AD70" i="1" s="1"/>
  <c r="J75" i="1"/>
  <c r="BH75" i="1"/>
  <c r="AD75" i="1" s="1"/>
  <c r="J78" i="1"/>
  <c r="BH78" i="1"/>
  <c r="AD78" i="1" s="1"/>
  <c r="J81" i="1"/>
  <c r="BH81" i="1"/>
  <c r="AD81" i="1" s="1"/>
  <c r="J84" i="1"/>
  <c r="BH84" i="1"/>
  <c r="AD84" i="1" s="1"/>
  <c r="J87" i="1"/>
  <c r="BH87" i="1"/>
  <c r="AD87" i="1" s="1"/>
  <c r="J90" i="1"/>
  <c r="BH90" i="1"/>
  <c r="AD90" i="1" s="1"/>
  <c r="J95" i="1"/>
  <c r="BH95" i="1"/>
  <c r="AD95" i="1" s="1"/>
  <c r="BH104" i="1"/>
  <c r="AF104" i="1" s="1"/>
  <c r="C18" i="2" s="1"/>
  <c r="BI36" i="1"/>
  <c r="AE36" i="1" s="1"/>
  <c r="K38" i="1"/>
  <c r="BI38" i="1"/>
  <c r="AE38" i="1" s="1"/>
  <c r="K41" i="1"/>
  <c r="BI41" i="1"/>
  <c r="AE41" i="1" s="1"/>
  <c r="K44" i="1"/>
  <c r="BI44" i="1"/>
  <c r="AE44" i="1" s="1"/>
  <c r="K47" i="1"/>
  <c r="BI47" i="1"/>
  <c r="AE47" i="1" s="1"/>
  <c r="K50" i="1"/>
  <c r="BI50" i="1"/>
  <c r="AE50" i="1" s="1"/>
  <c r="K53" i="1"/>
  <c r="BI53" i="1"/>
  <c r="AE53" i="1" s="1"/>
  <c r="K56" i="1"/>
  <c r="BI56" i="1"/>
  <c r="AE56" i="1" s="1"/>
  <c r="K59" i="1"/>
  <c r="BI59" i="1"/>
  <c r="AE59" i="1" s="1"/>
  <c r="K62" i="1"/>
  <c r="BI62" i="1"/>
  <c r="AE62" i="1" s="1"/>
  <c r="K64" i="1"/>
  <c r="BI64" i="1"/>
  <c r="AE64" i="1" s="1"/>
  <c r="K67" i="1"/>
  <c r="BI67" i="1"/>
  <c r="AE67" i="1" s="1"/>
  <c r="K70" i="1"/>
  <c r="BI70" i="1"/>
  <c r="AE70" i="1" s="1"/>
  <c r="K75" i="1"/>
  <c r="BI75" i="1"/>
  <c r="AE75" i="1" s="1"/>
  <c r="K78" i="1"/>
  <c r="BI78" i="1"/>
  <c r="AE78" i="1" s="1"/>
  <c r="K81" i="1"/>
  <c r="BI81" i="1"/>
  <c r="AE81" i="1" s="1"/>
  <c r="K84" i="1"/>
  <c r="BI84" i="1"/>
  <c r="AE84" i="1" s="1"/>
  <c r="K87" i="1"/>
  <c r="BI87" i="1"/>
  <c r="AE87" i="1" s="1"/>
  <c r="K90" i="1"/>
  <c r="BI90" i="1"/>
  <c r="AE90" i="1" s="1"/>
  <c r="K95" i="1"/>
  <c r="K93" i="1" s="1"/>
  <c r="BI95" i="1"/>
  <c r="AE95" i="1" s="1"/>
  <c r="K102" i="1"/>
  <c r="K100" i="1" s="1"/>
  <c r="BI102" i="1"/>
  <c r="AC102" i="1" s="1"/>
  <c r="C15" i="2" s="1"/>
  <c r="K24" i="1"/>
  <c r="K27" i="1"/>
  <c r="K30" i="1"/>
  <c r="K33" i="1"/>
  <c r="AK21" i="1"/>
  <c r="AK24" i="1"/>
  <c r="AK27" i="1"/>
  <c r="AK30" i="1"/>
  <c r="AK33" i="1"/>
  <c r="AK36" i="1"/>
  <c r="AK38" i="1"/>
  <c r="AK41" i="1"/>
  <c r="AK44" i="1"/>
  <c r="AK47" i="1"/>
  <c r="AK50" i="1"/>
  <c r="AK53" i="1"/>
  <c r="AK56" i="1"/>
  <c r="AK59" i="1"/>
  <c r="AK62" i="1"/>
  <c r="AK64" i="1"/>
  <c r="AK67" i="1"/>
  <c r="AK70" i="1"/>
  <c r="AK75" i="1"/>
  <c r="AK78" i="1"/>
  <c r="AK81" i="1"/>
  <c r="AK84" i="1"/>
  <c r="AK87" i="1"/>
  <c r="AK90" i="1"/>
  <c r="AK95" i="1"/>
  <c r="AK102" i="1"/>
  <c r="AK104" i="1"/>
  <c r="AT103" i="1" s="1"/>
  <c r="AW20" i="1"/>
  <c r="AW23" i="1"/>
  <c r="AW26" i="1"/>
  <c r="AW29" i="1"/>
  <c r="AW35" i="1"/>
  <c r="AW40" i="1"/>
  <c r="AW43" i="1"/>
  <c r="AW46" i="1"/>
  <c r="AW49" i="1"/>
  <c r="AW52" i="1"/>
  <c r="AW55" i="1"/>
  <c r="AW58" i="1"/>
  <c r="AW61" i="1"/>
  <c r="AW66" i="1"/>
  <c r="AW69" i="1"/>
  <c r="AW74" i="1"/>
  <c r="AW77" i="1"/>
  <c r="AW80" i="1"/>
  <c r="AW83" i="1"/>
  <c r="AW86" i="1"/>
  <c r="AW89" i="1"/>
  <c r="AW92" i="1"/>
  <c r="AW94" i="1"/>
  <c r="AW99" i="1"/>
  <c r="AW101" i="1"/>
  <c r="AX15" i="1"/>
  <c r="BC15" i="1" s="1"/>
  <c r="AX18" i="1"/>
  <c r="AV18" i="1" s="1"/>
  <c r="AX20" i="1"/>
  <c r="AK22" i="1"/>
  <c r="AK31" i="1"/>
  <c r="AK39" i="1"/>
  <c r="AK42" i="1"/>
  <c r="AK48" i="1"/>
  <c r="AK51" i="1"/>
  <c r="AK54" i="1"/>
  <c r="AK57" i="1"/>
  <c r="AK60" i="1"/>
  <c r="AK65" i="1"/>
  <c r="AK68" i="1"/>
  <c r="AK71" i="1"/>
  <c r="AK73" i="1"/>
  <c r="AK76" i="1"/>
  <c r="AK79" i="1"/>
  <c r="AK82" i="1"/>
  <c r="AK85" i="1"/>
  <c r="AK88" i="1"/>
  <c r="AK91" i="1"/>
  <c r="AK96" i="1"/>
  <c r="AK98" i="1"/>
  <c r="AT97" i="1" s="1"/>
  <c r="M17" i="1"/>
  <c r="M25" i="1"/>
  <c r="M28" i="1"/>
  <c r="M34" i="1"/>
  <c r="M45" i="1"/>
  <c r="M37" i="1" s="1"/>
  <c r="J40" i="1"/>
  <c r="J43" i="1"/>
  <c r="J46" i="1"/>
  <c r="J49" i="1"/>
  <c r="J52" i="1"/>
  <c r="J55" i="1"/>
  <c r="J58" i="1"/>
  <c r="J61" i="1"/>
  <c r="J66" i="1"/>
  <c r="J69" i="1"/>
  <c r="J74" i="1"/>
  <c r="J77" i="1"/>
  <c r="J80" i="1"/>
  <c r="J83" i="1"/>
  <c r="J86" i="1"/>
  <c r="J89" i="1"/>
  <c r="J92" i="1"/>
  <c r="J94" i="1"/>
  <c r="J93" i="1" s="1"/>
  <c r="J99" i="1"/>
  <c r="J97" i="1" s="1"/>
  <c r="J101" i="1"/>
  <c r="J100" i="1" s="1"/>
  <c r="K15" i="1"/>
  <c r="K18" i="1"/>
  <c r="K20" i="1"/>
  <c r="AT100" i="1" l="1"/>
  <c r="L105" i="1"/>
  <c r="AV68" i="1"/>
  <c r="J72" i="1"/>
  <c r="K72" i="1"/>
  <c r="BC16" i="1"/>
  <c r="AV16" i="1"/>
  <c r="AV51" i="1"/>
  <c r="AV34" i="1"/>
  <c r="AV24" i="1"/>
  <c r="K19" i="1"/>
  <c r="AT72" i="1"/>
  <c r="AV48" i="1"/>
  <c r="AV33" i="1"/>
  <c r="C28" i="2"/>
  <c r="F28" i="2" s="1"/>
  <c r="BC77" i="1"/>
  <c r="AV77" i="1"/>
  <c r="BC26" i="1"/>
  <c r="AV26" i="1"/>
  <c r="BC66" i="1"/>
  <c r="AV66" i="1"/>
  <c r="BC20" i="1"/>
  <c r="AV20" i="1"/>
  <c r="BC58" i="1"/>
  <c r="AV58" i="1"/>
  <c r="BC74" i="1"/>
  <c r="AV74" i="1"/>
  <c r="AT37" i="1"/>
  <c r="BC18" i="1"/>
  <c r="AT63" i="1"/>
  <c r="BC99" i="1"/>
  <c r="AV99" i="1"/>
  <c r="AT19" i="1"/>
  <c r="BC49" i="1"/>
  <c r="AV49" i="1"/>
  <c r="AV15" i="1"/>
  <c r="J37" i="1"/>
  <c r="J19" i="1"/>
  <c r="C16" i="2"/>
  <c r="BC29" i="1"/>
  <c r="AV29" i="1"/>
  <c r="BC61" i="1"/>
  <c r="AV61" i="1"/>
  <c r="K37" i="1"/>
  <c r="BC94" i="1"/>
  <c r="AV94" i="1"/>
  <c r="BC52" i="1"/>
  <c r="AV52" i="1"/>
  <c r="AT93" i="1"/>
  <c r="BC46" i="1"/>
  <c r="AV46" i="1"/>
  <c r="AT14" i="1"/>
  <c r="BC13" i="1"/>
  <c r="AV13" i="1"/>
  <c r="BC35" i="1"/>
  <c r="AV35" i="1"/>
  <c r="K14" i="1"/>
  <c r="BC69" i="1"/>
  <c r="AV69" i="1"/>
  <c r="M19" i="1"/>
  <c r="BC23" i="1"/>
  <c r="AV23" i="1"/>
  <c r="M14" i="1"/>
  <c r="BC101" i="1"/>
  <c r="AV101" i="1"/>
  <c r="BC55" i="1"/>
  <c r="AV55" i="1"/>
  <c r="BC92" i="1"/>
  <c r="AV92" i="1"/>
  <c r="BC89" i="1"/>
  <c r="AV89" i="1"/>
  <c r="BC86" i="1"/>
  <c r="AV86" i="1"/>
  <c r="BC83" i="1"/>
  <c r="AV83" i="1"/>
  <c r="BC43" i="1"/>
  <c r="AV43" i="1"/>
  <c r="K63" i="1"/>
  <c r="J63" i="1"/>
  <c r="BC80" i="1"/>
  <c r="AV80" i="1"/>
  <c r="BC40" i="1"/>
  <c r="AV40" i="1"/>
  <c r="C17" i="2"/>
  <c r="C22" i="2" s="1"/>
  <c r="J14" i="1"/>
  <c r="I28" i="2" l="1"/>
  <c r="I29" i="2" s="1"/>
  <c r="M105" i="1"/>
</calcChain>
</file>

<file path=xl/sharedStrings.xml><?xml version="1.0" encoding="utf-8"?>
<sst xmlns="http://schemas.openxmlformats.org/spreadsheetml/2006/main" count="1037" uniqueCount="406">
  <si>
    <t>Stavební rozpočet</t>
  </si>
  <si>
    <t>Název stavby:</t>
  </si>
  <si>
    <t>Výměna zdroje tepla v objektu ul. Hasičská 339/34</t>
  </si>
  <si>
    <t>Doba výstavby:</t>
  </si>
  <si>
    <t xml:space="preserve"> </t>
  </si>
  <si>
    <t>Objednatel:</t>
  </si>
  <si>
    <t> </t>
  </si>
  <si>
    <t>Druh stavby:</t>
  </si>
  <si>
    <t>Hasičská zbrojnice</t>
  </si>
  <si>
    <t>Začátek výstavby:</t>
  </si>
  <si>
    <t>31.03.2025</t>
  </si>
  <si>
    <t>Projektant:</t>
  </si>
  <si>
    <t>Lokalita:</t>
  </si>
  <si>
    <t>Ostrava - Hrabůvka</t>
  </si>
  <si>
    <t>Konec výstavby:</t>
  </si>
  <si>
    <t>Zhotovitel:</t>
  </si>
  <si>
    <t>JKSO:</t>
  </si>
  <si>
    <t>Zpracováno dne:</t>
  </si>
  <si>
    <t>Zpracoval:</t>
  </si>
  <si>
    <t>L. Strakoš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</si>
  <si>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</si>
  <si>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</si>
  <si>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</si>
  <si>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</si>
  <si>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</si>
  <si>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</si>
  <si>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</si>
  <si>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</si>
  <si>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</si>
  <si>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</si>
  <si>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</si>
  <si>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</si>
  <si>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</si>
  <si>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</si>
  <si>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</si>
  <si>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</si>
  <si>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</si>
  <si>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</si>
  <si>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</si>
  <si>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</si>
  <si>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</si>
  <si>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</si>
  <si>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</si>
  <si>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</si>
  <si>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</si>
  <si>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</si>
  <si>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</si>
  <si>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</si>
  <si>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</si>
  <si>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</si>
  <si>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</si>
  <si>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</si>
  <si>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</si>
  <si>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</si>
  <si>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713</t>
  </si>
  <si>
    <t>Izolace tepelné</t>
  </si>
  <si>
    <t>1</t>
  </si>
  <si>
    <t>713461121R00</t>
  </si>
  <si>
    <t>tep.izolace potrubí DN50 tl. 50mm, min.vlna s Al_polepem</t>
  </si>
  <si>
    <t>m2</t>
  </si>
  <si>
    <t>RTS II / 2024</t>
  </si>
  <si>
    <t>7</t>
  </si>
  <si>
    <t>713_</t>
  </si>
  <si>
    <t>71_</t>
  </si>
  <si>
    <t>_</t>
  </si>
  <si>
    <t>722</t>
  </si>
  <si>
    <t>Vnitřní vodovod</t>
  </si>
  <si>
    <t>2</t>
  </si>
  <si>
    <t>722171211R00</t>
  </si>
  <si>
    <t>Potrubí plastové D 20 x 2,0 mm - čerp. kondenzátu</t>
  </si>
  <si>
    <t>m</t>
  </si>
  <si>
    <t>722_</t>
  </si>
  <si>
    <t>72_</t>
  </si>
  <si>
    <t>3</t>
  </si>
  <si>
    <t>722181245RV9</t>
  </si>
  <si>
    <t>Izolace návleková tl. 25 mm, vnitřní 40mm</t>
  </si>
  <si>
    <t>4</t>
  </si>
  <si>
    <t>722181245RU1</t>
  </si>
  <si>
    <t>Izolace návleková tl. stěny 25 mm, vnitřní 32mm</t>
  </si>
  <si>
    <t>5</t>
  </si>
  <si>
    <t>722182021R00</t>
  </si>
  <si>
    <t>Montáž tepelné izolace skruží</t>
  </si>
  <si>
    <t>731</t>
  </si>
  <si>
    <t>Kotelny</t>
  </si>
  <si>
    <t>6</t>
  </si>
  <si>
    <t>731100896R00</t>
  </si>
  <si>
    <t>Demontáž kotle litinového</t>
  </si>
  <si>
    <t>kus</t>
  </si>
  <si>
    <t>731_</t>
  </si>
  <si>
    <t>73_</t>
  </si>
  <si>
    <t>7311250001VD</t>
  </si>
  <si>
    <t>nástěnný kondenz. kotel 14,3-49,9kW</t>
  </si>
  <si>
    <t>ks</t>
  </si>
  <si>
    <t>8</t>
  </si>
  <si>
    <t>731249126R00</t>
  </si>
  <si>
    <t>Montáž kotle ocel.teplov.,kapalina/plyn do 52 kW</t>
  </si>
  <si>
    <t>soubor</t>
  </si>
  <si>
    <t>9</t>
  </si>
  <si>
    <t>7311250010VD</t>
  </si>
  <si>
    <t>kaskádová jednotka s anuloidem a propojením kotlů</t>
  </si>
  <si>
    <t>10</t>
  </si>
  <si>
    <t>7311250003VD</t>
  </si>
  <si>
    <t>adaptér 160/110 na 110/110</t>
  </si>
  <si>
    <t>11</t>
  </si>
  <si>
    <t>7311250013VD</t>
  </si>
  <si>
    <t>rám pro kotel, na podlahu</t>
  </si>
  <si>
    <t>12</t>
  </si>
  <si>
    <t>7311250014VD</t>
  </si>
  <si>
    <t>rám pro druhý kotel</t>
  </si>
  <si>
    <t>13</t>
  </si>
  <si>
    <t>7311250015VD</t>
  </si>
  <si>
    <t>PP odkouření a přívod vzduchu DN110</t>
  </si>
  <si>
    <t>14</t>
  </si>
  <si>
    <t>7311250016VD</t>
  </si>
  <si>
    <t>montáž kouřovodu/sání DN110</t>
  </si>
  <si>
    <t>15</t>
  </si>
  <si>
    <t>7311250004VD</t>
  </si>
  <si>
    <t>neutralizace kondenzátu s přečerpáváním</t>
  </si>
  <si>
    <t>16</t>
  </si>
  <si>
    <t>7311250005VD</t>
  </si>
  <si>
    <t>regulátor pro nástěnné/stacionární kotle, 7"dotyk.displej</t>
  </si>
  <si>
    <t>17</t>
  </si>
  <si>
    <t>7311250006VD</t>
  </si>
  <si>
    <t>rozšiřující modul topného okruhu</t>
  </si>
  <si>
    <t>18</t>
  </si>
  <si>
    <t>7311250007VD</t>
  </si>
  <si>
    <t>kaskádový modul</t>
  </si>
  <si>
    <t>19</t>
  </si>
  <si>
    <t>7311250008VD</t>
  </si>
  <si>
    <t>Modul pro zapojení až 5 externích bezp.zař.</t>
  </si>
  <si>
    <t>20</t>
  </si>
  <si>
    <t>7311250009VD</t>
  </si>
  <si>
    <t>Montážní lišta pro síťové moduly</t>
  </si>
  <si>
    <t>21</t>
  </si>
  <si>
    <t>7311250011VD</t>
  </si>
  <si>
    <t>dopouštěcí stanice 10b/1,5-4b</t>
  </si>
  <si>
    <t>22</t>
  </si>
  <si>
    <t>7311250012VD</t>
  </si>
  <si>
    <t>demineralizační set 2000 l</t>
  </si>
  <si>
    <t>732</t>
  </si>
  <si>
    <t>Strojovny</t>
  </si>
  <si>
    <t>23</t>
  </si>
  <si>
    <t>732212815R00</t>
  </si>
  <si>
    <t>Demontáž ohříváků zásobníkových stojat.do 1600 l</t>
  </si>
  <si>
    <t>732_</t>
  </si>
  <si>
    <t>24</t>
  </si>
  <si>
    <t>732214813R00</t>
  </si>
  <si>
    <t>Vypuštění vody z ohříváků o obsahu do 630 l</t>
  </si>
  <si>
    <t>25</t>
  </si>
  <si>
    <t>732219302R00</t>
  </si>
  <si>
    <t>Montáž ohříváků vody stojat.kombinovaných do 300 l</t>
  </si>
  <si>
    <t>26</t>
  </si>
  <si>
    <t>732420811R00</t>
  </si>
  <si>
    <t>Demontáž čerpadel oběhových spirálních DN 25</t>
  </si>
  <si>
    <t>27</t>
  </si>
  <si>
    <t>732420812R00</t>
  </si>
  <si>
    <t>Demontáž čerpadel oběhových spirálních DN 40</t>
  </si>
  <si>
    <t>28</t>
  </si>
  <si>
    <t>732900001VD</t>
  </si>
  <si>
    <t>bojler 300 l hl. trubky, vnitř. smalt</t>
  </si>
  <si>
    <t>29</t>
  </si>
  <si>
    <t>732900002VD</t>
  </si>
  <si>
    <t>cirkulační čerpadlo TUV 1/2"</t>
  </si>
  <si>
    <t>30</t>
  </si>
  <si>
    <t>732900004VD</t>
  </si>
  <si>
    <t>čerpadlo oběhové elektronické 25-60</t>
  </si>
  <si>
    <t>31</t>
  </si>
  <si>
    <t>732331512R00</t>
  </si>
  <si>
    <t>Nádoby expanzní tlak.s memb.Expanzomat, 12 l (kotel)</t>
  </si>
  <si>
    <t>32</t>
  </si>
  <si>
    <t>732331517R00</t>
  </si>
  <si>
    <t>Nádoby expanzní tlak.s memb.Expanzomat,100 l</t>
  </si>
  <si>
    <t>33</t>
  </si>
  <si>
    <t>732351103R00</t>
  </si>
  <si>
    <t>Montáž nádoby expanzní membránové pro vytápění a chlazení, objem 12 l</t>
  </si>
  <si>
    <t>34</t>
  </si>
  <si>
    <t>732351109R00</t>
  </si>
  <si>
    <t>Montáž nádoby expanzní membránové pro vytápění a chlazení, objem 100 l</t>
  </si>
  <si>
    <t>35</t>
  </si>
  <si>
    <t>732391901R00</t>
  </si>
  <si>
    <t>Zpětná montáž nádrží o obsahu  do 200 l (ZTI)</t>
  </si>
  <si>
    <t>36</t>
  </si>
  <si>
    <t>732900003VD</t>
  </si>
  <si>
    <t>čerpadlo oběhové elektronické  25-40</t>
  </si>
  <si>
    <t>37</t>
  </si>
  <si>
    <t>732110811R00</t>
  </si>
  <si>
    <t>Demontáž těles rozdělovačů a sběračů, DN 100 mm</t>
  </si>
  <si>
    <t>38</t>
  </si>
  <si>
    <t>732111314R00</t>
  </si>
  <si>
    <t>Trubková hrdla rozděl. a sběr. bez přírub, DN 25</t>
  </si>
  <si>
    <t>39</t>
  </si>
  <si>
    <t>732111315R00</t>
  </si>
  <si>
    <t>Trubková hrdla rozděl. a sběr. bez přírub, DN 32</t>
  </si>
  <si>
    <t>40</t>
  </si>
  <si>
    <t>732111318R00</t>
  </si>
  <si>
    <t>Trubková hrdla rozděl. a sběr. bez přírub, DN 50</t>
  </si>
  <si>
    <t>41</t>
  </si>
  <si>
    <t>732111322R00</t>
  </si>
  <si>
    <t>Trubková hrdla rozděl. a sběr. bez přírub, DN 65</t>
  </si>
  <si>
    <t>42</t>
  </si>
  <si>
    <t>732119191R00</t>
  </si>
  <si>
    <t>Montáž rozdělovačů a sběračů DN 100 (90x90mm) dl 1m</t>
  </si>
  <si>
    <t>43</t>
  </si>
  <si>
    <t>732111128R00</t>
  </si>
  <si>
    <t>Tělesa rozdělovačů a sběračů DN 100 dl 1m</t>
  </si>
  <si>
    <t>44</t>
  </si>
  <si>
    <t>732291911R00</t>
  </si>
  <si>
    <t>Zpětné připojení potrubí topného a vratného</t>
  </si>
  <si>
    <t>45</t>
  </si>
  <si>
    <t>732291912R00</t>
  </si>
  <si>
    <t>Zpětné připojení potrubí TUV a cirkulace</t>
  </si>
  <si>
    <t>46</t>
  </si>
  <si>
    <t>732291913R00</t>
  </si>
  <si>
    <t>Zpětné připojení potrubí studené vody</t>
  </si>
  <si>
    <t>47</t>
  </si>
  <si>
    <t>732291915R00</t>
  </si>
  <si>
    <t>Napuštění výměníků a ohříváků vodou do 1000 l</t>
  </si>
  <si>
    <t>733</t>
  </si>
  <si>
    <t>Rozvod potrubí</t>
  </si>
  <si>
    <t>48</t>
  </si>
  <si>
    <t>733110806R00</t>
  </si>
  <si>
    <t>Demontáž potrubí ocelového závitového do DN 15-32</t>
  </si>
  <si>
    <t>733_</t>
  </si>
  <si>
    <t>49</t>
  </si>
  <si>
    <t>733110808R00</t>
  </si>
  <si>
    <t>Demontáž potrubí ocelového závitového do DN 32-50</t>
  </si>
  <si>
    <t>50</t>
  </si>
  <si>
    <t>733110810R00</t>
  </si>
  <si>
    <t>Demontáž potrubí ocelového závitového do DN 50-80</t>
  </si>
  <si>
    <t>51</t>
  </si>
  <si>
    <t>733111313R00</t>
  </si>
  <si>
    <t>Potrubí závit. běžné svařované v kotelnách DN 15</t>
  </si>
  <si>
    <t>52</t>
  </si>
  <si>
    <t>733111315R00</t>
  </si>
  <si>
    <t>Potrubí závit. běžné svařované v kotelnách DN 25</t>
  </si>
  <si>
    <t>53</t>
  </si>
  <si>
    <t>733111316R00</t>
  </si>
  <si>
    <t>Potrubí závit. běžné svařované v kotelnách DN 32</t>
  </si>
  <si>
    <t>54</t>
  </si>
  <si>
    <t>733111318R00</t>
  </si>
  <si>
    <t>Potrubí závit. běžné svařované v kotelnách DN 50</t>
  </si>
  <si>
    <t>55</t>
  </si>
  <si>
    <t>733124119R00</t>
  </si>
  <si>
    <t>Zhotov.přechodu kováním 65/50</t>
  </si>
  <si>
    <t>734</t>
  </si>
  <si>
    <t>Armatury</t>
  </si>
  <si>
    <t>56</t>
  </si>
  <si>
    <t>734900001VD</t>
  </si>
  <si>
    <t>vent. 3cest. regul. DN15, Kvs 1,6, pohon 6,6Nm 125s</t>
  </si>
  <si>
    <t>734_</t>
  </si>
  <si>
    <t>57</t>
  </si>
  <si>
    <t>734900002VD</t>
  </si>
  <si>
    <t>magnetický odlučovač nečistot DN40</t>
  </si>
  <si>
    <t>58</t>
  </si>
  <si>
    <t>734200822R00</t>
  </si>
  <si>
    <t>Demontáž armatur se 2závity do G 1</t>
  </si>
  <si>
    <t>59</t>
  </si>
  <si>
    <t>734200824R00</t>
  </si>
  <si>
    <t>Demontáž armatur se 2závity do G 2</t>
  </si>
  <si>
    <t>60</t>
  </si>
  <si>
    <t>734200832R00</t>
  </si>
  <si>
    <t>Demontáž armatur se 3závity do G 1</t>
  </si>
  <si>
    <t>61</t>
  </si>
  <si>
    <t>734200833R00</t>
  </si>
  <si>
    <t>Demontáž armatur se 3závity do G 6/4</t>
  </si>
  <si>
    <t>62</t>
  </si>
  <si>
    <t>734209123R00</t>
  </si>
  <si>
    <t>Montáž armatur závitových,se 3závity, G 1/2</t>
  </si>
  <si>
    <t>63</t>
  </si>
  <si>
    <t>734291113R00</t>
  </si>
  <si>
    <t>Kohouty plnící a vypouštěcí G 1/2</t>
  </si>
  <si>
    <t>64</t>
  </si>
  <si>
    <t>734245423R00</t>
  </si>
  <si>
    <t>Klapka zpětná, DN 25,top</t>
  </si>
  <si>
    <t>65</t>
  </si>
  <si>
    <t>734245424R00</t>
  </si>
  <si>
    <t>Klapka zpětná, DN 32,top</t>
  </si>
  <si>
    <t>66</t>
  </si>
  <si>
    <t>734249104R00</t>
  </si>
  <si>
    <t>Montáž ventilů zpětných závitových G 1</t>
  </si>
  <si>
    <t>67</t>
  </si>
  <si>
    <t>734249105R00</t>
  </si>
  <si>
    <t>Montáž ventilů zpětných závitovýchG 5/4</t>
  </si>
  <si>
    <t>68</t>
  </si>
  <si>
    <t>734294213R00</t>
  </si>
  <si>
    <t>Filtr,velikost oka 0,4mm, DN 25</t>
  </si>
  <si>
    <t>69</t>
  </si>
  <si>
    <t>734294214R00</t>
  </si>
  <si>
    <t>Filtr,velikost oka 0,4mm, DN 32</t>
  </si>
  <si>
    <t>70</t>
  </si>
  <si>
    <t>734233111R00</t>
  </si>
  <si>
    <t>Kohout kulový,  DN 15</t>
  </si>
  <si>
    <t>71</t>
  </si>
  <si>
    <t>734233113R00</t>
  </si>
  <si>
    <t>Kohout kulový,  DN 25</t>
  </si>
  <si>
    <t>72</t>
  </si>
  <si>
    <t>734233114R00</t>
  </si>
  <si>
    <t>Kohout kulový, DN 32</t>
  </si>
  <si>
    <t>73</t>
  </si>
  <si>
    <t>734233116R00</t>
  </si>
  <si>
    <t>Kohout kulový,  DN 50</t>
  </si>
  <si>
    <t>74</t>
  </si>
  <si>
    <t>734290003VD</t>
  </si>
  <si>
    <t>servisní ventil pro expanzomat, DN20</t>
  </si>
  <si>
    <t>75</t>
  </si>
  <si>
    <t>734290004VD</t>
  </si>
  <si>
    <t>servisní ventil pro expanzomat, DN25</t>
  </si>
  <si>
    <t>767</t>
  </si>
  <si>
    <t>Konstrukce doplňkové stavební (zámečnické)</t>
  </si>
  <si>
    <t>76</t>
  </si>
  <si>
    <t>767996801R00</t>
  </si>
  <si>
    <t>Demontáž atypických ocelových konstr. do 50 kg</t>
  </si>
  <si>
    <t>kg</t>
  </si>
  <si>
    <t>767_</t>
  </si>
  <si>
    <t>76_</t>
  </si>
  <si>
    <t>77</t>
  </si>
  <si>
    <t>767995103R00</t>
  </si>
  <si>
    <t>Výroba a montáž kov. atypických konstr. do 20 kg</t>
  </si>
  <si>
    <t>78</t>
  </si>
  <si>
    <t>767995101R00</t>
  </si>
  <si>
    <t>Výroba a montáž kov. atypických konstr. do 5 kg</t>
  </si>
  <si>
    <t>783</t>
  </si>
  <si>
    <t>Nátěry</t>
  </si>
  <si>
    <t>79</t>
  </si>
  <si>
    <t>783425750R00</t>
  </si>
  <si>
    <t>Nátěr syntetický potrubí do DN 100 mm základní</t>
  </si>
  <si>
    <t>783_</t>
  </si>
  <si>
    <t>78_</t>
  </si>
  <si>
    <t>80</t>
  </si>
  <si>
    <t>783225100R00</t>
  </si>
  <si>
    <t>Nátěr syntetický kovových konstrukcí 2x + 1x email</t>
  </si>
  <si>
    <t>90</t>
  </si>
  <si>
    <t>Hodinové zúčtovací sazby (HZS)</t>
  </si>
  <si>
    <t>81</t>
  </si>
  <si>
    <t>904      R02</t>
  </si>
  <si>
    <t>Hzs-zkousky v ramci montaz.praci - topná zkouška</t>
  </si>
  <si>
    <t>h</t>
  </si>
  <si>
    <t>90_</t>
  </si>
  <si>
    <t>9_</t>
  </si>
  <si>
    <t>82</t>
  </si>
  <si>
    <t>905      R01</t>
  </si>
  <si>
    <t>Hzs-revize provoz.souboru a st.obj.</t>
  </si>
  <si>
    <t>M22</t>
  </si>
  <si>
    <t>Montáže sdělovací a zabezpečovací techniky</t>
  </si>
  <si>
    <t>83</t>
  </si>
  <si>
    <t>222619131R00</t>
  </si>
  <si>
    <t>montáž regulace, elektroinstalace</t>
  </si>
  <si>
    <t>M22_</t>
  </si>
  <si>
    <t>Celkem:</t>
  </si>
  <si>
    <t>Poznámka: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</si>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</sst>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name val="Arial"/>
      <family val="2"/>
      <charset val="238"/>
    </font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3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3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/>
    <xf numFmtId="4" fontId="3" fillId="2" borderId="0" xfId="0" applyNumberFormat="1" applyFont="1" applyFill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4" fontId="4" fillId="0" borderId="21" xfId="0" applyNumberFormat="1" applyFont="1" applyBorder="1" applyAlignment="1">
      <alignment horizontal="right" vertical="center"/>
    </xf>
    <xf numFmtId="1" fontId="4" fillId="0" borderId="21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4" fontId="10" fillId="0" borderId="22" xfId="0" applyNumberFormat="1" applyFont="1" applyBorder="1" applyAlignment="1">
      <alignment horizontal="right" vertical="center"/>
    </xf>
    <xf numFmtId="0" fontId="9" fillId="0" borderId="26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4" fontId="10" fillId="0" borderId="5" xfId="0" applyNumberFormat="1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10" fillId="0" borderId="15" xfId="0" applyNumberFormat="1" applyFont="1" applyBorder="1" applyAlignment="1">
      <alignment horizontal="right" vertical="center"/>
    </xf>
    <xf numFmtId="4" fontId="9" fillId="2" borderId="24" xfId="0" applyNumberFormat="1" applyFont="1" applyFill="1" applyBorder="1" applyAlignment="1">
      <alignment horizontal="right" vertical="center"/>
    </xf>
    <xf numFmtId="4" fontId="9" fillId="2" borderId="22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4" fontId="4" fillId="0" borderId="22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left" vertical="center"/>
    </xf>
    <xf numFmtId="4" fontId="4" fillId="0" borderId="5" xfId="0" applyNumberFormat="1" applyFont="1" applyBorder="1" applyAlignment="1">
      <alignment horizontal="right" vertical="center"/>
    </xf>
    <xf numFmtId="0" fontId="3" fillId="0" borderId="35" xfId="0" applyFont="1" applyBorder="1" applyAlignment="1">
      <alignment horizontal="left" vertical="center"/>
    </xf>
    <xf numFmtId="0" fontId="3" fillId="0" borderId="35" xfId="0" applyFont="1" applyBorder="1" applyAlignment="1">
      <alignment horizontal="right" vertical="center"/>
    </xf>
    <xf numFmtId="4" fontId="3" fillId="0" borderId="35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10" fillId="0" borderId="31" xfId="0" applyFont="1" applyBorder="1" applyAlignment="1">
      <alignment horizontal="left" vertical="center"/>
    </xf>
    <xf numFmtId="0" fontId="10" fillId="0" borderId="32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0" fontId="10" fillId="0" borderId="30" xfId="0" applyFont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/>
    </xf>
    <xf numFmtId="0" fontId="9" fillId="2" borderId="28" xfId="0" applyFont="1" applyFill="1" applyBorder="1" applyAlignment="1">
      <alignment horizontal="left" vertical="center"/>
    </xf>
    <xf numFmtId="0" fontId="9" fillId="2" borderId="21" xfId="0" applyFont="1" applyFill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2" borderId="27" xfId="0" applyFont="1" applyFill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0" borderId="24" xfId="0" applyFont="1" applyBorder="1" applyAlignment="1">
      <alignment horizontal="left" vertical="center"/>
    </xf>
    <xf numFmtId="1" fontId="4" fillId="0" borderId="5" xfId="0" applyNumberFormat="1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9" fillId="0" borderId="35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384480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21960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21960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107"/>
  <sheetViews>
    <sheetView tabSelected="1" zoomScaleNormal="100" workbookViewId="0">
      <pane ySplit="11" topLeftCell="A24" activePane="bottomLeft" state="frozen"/>
      <selection pane="bottomLeft" activeCell="J4" sqref="J4:P5"/>
    </sheetView>
  </sheetViews>
  <sheetFormatPr defaultColWidth="12.140625" defaultRowHeight="15"/>
  <cols>
    <col min="1" max="1" width="4" style="5" customWidth="1"/>
    <col min="2" max="2" width="7.5703125" style="5" customWidth="1"/>
    <col min="3" max="3" width="17.85546875" style="5" customWidth="1"/>
    <col min="4" max="4" width="28.5703125" style="5" customWidth="1"/>
    <col min="5" max="5" width="34.140625" style="5" customWidth="1"/>
    <col min="6" max="6" width="6.42578125" style="5" customWidth="1"/>
    <col min="7" max="7" width="12.85546875" style="5" customWidth="1"/>
    <col min="8" max="8" width="12" style="5" customWidth="1"/>
    <col min="9" max="9" width="11.140625" style="5" customWidth="1"/>
    <col min="10" max="13" width="15.7109375" style="5" customWidth="1"/>
    <col min="14" max="15" width="11.7109375" style="5" customWidth="1"/>
    <col min="16" max="16" width="13.42578125" style="5" customWidth="1"/>
    <col min="25" max="75" width="12.140625" style="5" hidden="1"/>
    <col min="76" max="76" width="62.7109375" style="5" hidden="1" customWidth="1"/>
    <col min="77" max="78" width="12.140625" style="5" hidden="1"/>
  </cols>
  <sheetData>
    <row r="1" spans="1:76" ht="54.75" customHeight="1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AS1" s="6">
        <f>SUM(AJ1:AJ2)</f>
        <v>0</v>
      </c>
      <c r="AT1" s="6">
        <f>SUM(AK1:AK2)</f>
        <v>0</v>
      </c>
      <c r="AU1" s="6">
        <f>SUM(AL1:AL2)</f>
        <v>0</v>
      </c>
    </row>
    <row r="2" spans="1:76" ht="15" customHeight="1">
      <c r="A2" s="71" t="s">
        <v>1</v>
      </c>
      <c r="B2" s="71"/>
      <c r="C2" s="71"/>
      <c r="D2" s="72" t="s">
        <v>2</v>
      </c>
      <c r="E2" s="72"/>
      <c r="F2" s="73" t="s">
        <v>3</v>
      </c>
      <c r="G2" s="73"/>
      <c r="H2" s="73" t="s">
        <v>4</v>
      </c>
      <c r="I2" s="74" t="s">
        <v>5</v>
      </c>
      <c r="J2" s="75" t="s">
        <v>6</v>
      </c>
      <c r="K2" s="75"/>
      <c r="L2" s="75"/>
      <c r="M2" s="75"/>
      <c r="N2" s="75"/>
      <c r="O2" s="75"/>
      <c r="P2" s="75"/>
    </row>
    <row r="3" spans="1:76">
      <c r="A3" s="71"/>
      <c r="B3" s="71"/>
      <c r="C3" s="71"/>
      <c r="D3" s="72"/>
      <c r="E3" s="72"/>
      <c r="F3" s="73"/>
      <c r="G3" s="73"/>
      <c r="H3" s="73"/>
      <c r="I3" s="73"/>
      <c r="J3" s="73"/>
      <c r="K3" s="75"/>
      <c r="L3" s="75"/>
      <c r="M3" s="75"/>
      <c r="N3" s="75"/>
      <c r="O3" s="75"/>
      <c r="P3" s="75"/>
    </row>
    <row r="4" spans="1:76" ht="15" customHeight="1">
      <c r="A4" s="66" t="s">
        <v>7</v>
      </c>
      <c r="B4" s="66"/>
      <c r="C4" s="66"/>
      <c r="D4" s="58" t="s">
        <v>8</v>
      </c>
      <c r="E4" s="58"/>
      <c r="F4" s="67" t="s">
        <v>9</v>
      </c>
      <c r="G4" s="67"/>
      <c r="H4" s="67" t="s">
        <v>10</v>
      </c>
      <c r="I4" s="58" t="s">
        <v>11</v>
      </c>
      <c r="J4" s="68" t="s">
        <v>6</v>
      </c>
      <c r="K4" s="68"/>
      <c r="L4" s="68"/>
      <c r="M4" s="68"/>
      <c r="N4" s="68"/>
      <c r="O4" s="68"/>
      <c r="P4" s="68"/>
    </row>
    <row r="5" spans="1:76">
      <c r="A5" s="66"/>
      <c r="B5" s="66"/>
      <c r="C5" s="66"/>
      <c r="D5" s="58"/>
      <c r="E5" s="58"/>
      <c r="F5" s="67"/>
      <c r="G5" s="67"/>
      <c r="H5" s="67"/>
      <c r="I5" s="67"/>
      <c r="J5" s="67"/>
      <c r="K5" s="68"/>
      <c r="L5" s="68"/>
      <c r="M5" s="68"/>
      <c r="N5" s="68"/>
      <c r="O5" s="68"/>
      <c r="P5" s="68"/>
    </row>
    <row r="6" spans="1:76" ht="15" customHeight="1">
      <c r="A6" s="66" t="s">
        <v>12</v>
      </c>
      <c r="B6" s="66"/>
      <c r="C6" s="66"/>
      <c r="D6" s="58" t="s">
        <v>13</v>
      </c>
      <c r="E6" s="58"/>
      <c r="F6" s="67" t="s">
        <v>14</v>
      </c>
      <c r="G6" s="67"/>
      <c r="H6" s="67" t="s">
        <v>4</v>
      </c>
      <c r="I6" s="58" t="s">
        <v>15</v>
      </c>
      <c r="J6" s="68" t="s">
        <v>6</v>
      </c>
      <c r="K6" s="68"/>
      <c r="L6" s="68"/>
      <c r="M6" s="68"/>
      <c r="N6" s="68"/>
      <c r="O6" s="68"/>
      <c r="P6" s="68"/>
    </row>
    <row r="7" spans="1:76">
      <c r="A7" s="66"/>
      <c r="B7" s="66"/>
      <c r="C7" s="66"/>
      <c r="D7" s="58"/>
      <c r="E7" s="58"/>
      <c r="F7" s="67"/>
      <c r="G7" s="67"/>
      <c r="H7" s="67"/>
      <c r="I7" s="67"/>
      <c r="J7" s="67"/>
      <c r="K7" s="68"/>
      <c r="L7" s="68"/>
      <c r="M7" s="68"/>
      <c r="N7" s="68"/>
      <c r="O7" s="68"/>
      <c r="P7" s="68"/>
    </row>
    <row r="8" spans="1:76" ht="15" customHeight="1">
      <c r="A8" s="66" t="s">
        <v>16</v>
      </c>
      <c r="B8" s="66"/>
      <c r="C8" s="66"/>
      <c r="D8" s="58" t="s">
        <v>4</v>
      </c>
      <c r="E8" s="58"/>
      <c r="F8" s="67" t="s">
        <v>17</v>
      </c>
      <c r="G8" s="67"/>
      <c r="H8" s="67" t="s">
        <v>10</v>
      </c>
      <c r="I8" s="58" t="s">
        <v>18</v>
      </c>
      <c r="J8" s="69" t="s">
        <v>19</v>
      </c>
      <c r="K8" s="69"/>
      <c r="L8" s="69"/>
      <c r="M8" s="69"/>
      <c r="N8" s="69"/>
      <c r="O8" s="69"/>
      <c r="P8" s="69"/>
    </row>
    <row r="9" spans="1:76">
      <c r="A9" s="66"/>
      <c r="B9" s="66"/>
      <c r="C9" s="66"/>
      <c r="D9" s="58"/>
      <c r="E9" s="58"/>
      <c r="F9" s="67"/>
      <c r="G9" s="67"/>
      <c r="H9" s="67"/>
      <c r="I9" s="67"/>
      <c r="J9" s="67"/>
      <c r="K9" s="69"/>
      <c r="L9" s="69"/>
      <c r="M9" s="69"/>
      <c r="N9" s="69"/>
      <c r="O9" s="69"/>
      <c r="P9" s="69"/>
    </row>
    <row r="10" spans="1:76">
      <c r="A10" s="7" t="s">
        <v>20</v>
      </c>
      <c r="B10" s="1" t="s">
        <v>21</v>
      </c>
      <c r="C10" s="1" t="s">
        <v>22</v>
      </c>
      <c r="D10" s="62" t="s">
        <v>23</v>
      </c>
      <c r="E10" s="62"/>
      <c r="F10" s="1" t="s">
        <v>24</v>
      </c>
      <c r="G10" s="8" t="s">
        <v>25</v>
      </c>
      <c r="H10" s="9" t="s">
        <v>26</v>
      </c>
      <c r="I10" s="10" t="s">
        <v>27</v>
      </c>
      <c r="J10" s="63" t="s">
        <v>28</v>
      </c>
      <c r="K10" s="63"/>
      <c r="L10" s="63"/>
      <c r="M10" s="11" t="s">
        <v>28</v>
      </c>
      <c r="N10" s="64" t="s">
        <v>29</v>
      </c>
      <c r="O10" s="64"/>
      <c r="P10" s="12" t="s">
        <v>30</v>
      </c>
      <c r="BK10" s="13" t="s">
        <v>31</v>
      </c>
      <c r="BL10" s="14" t="s">
        <v>32</v>
      </c>
      <c r="BW10" s="14" t="s">
        <v>33</v>
      </c>
    </row>
    <row r="11" spans="1:76">
      <c r="A11" s="15" t="s">
        <v>4</v>
      </c>
      <c r="B11" s="16" t="s">
        <v>4</v>
      </c>
      <c r="C11" s="16" t="s">
        <v>4</v>
      </c>
      <c r="D11" s="65" t="s">
        <v>34</v>
      </c>
      <c r="E11" s="65"/>
      <c r="F11" s="16" t="s">
        <v>4</v>
      </c>
      <c r="G11" s="16" t="s">
        <v>4</v>
      </c>
      <c r="H11" s="17" t="s">
        <v>35</v>
      </c>
      <c r="I11" s="18" t="s">
        <v>4</v>
      </c>
      <c r="J11" s="19" t="s">
        <v>36</v>
      </c>
      <c r="K11" s="20" t="s">
        <v>37</v>
      </c>
      <c r="L11" s="21" t="s">
        <v>38</v>
      </c>
      <c r="M11" s="21" t="s">
        <v>39</v>
      </c>
      <c r="N11" s="20" t="s">
        <v>40</v>
      </c>
      <c r="O11" s="17" t="s">
        <v>38</v>
      </c>
      <c r="P11" s="19" t="s">
        <v>41</v>
      </c>
      <c r="Z11" s="13" t="s">
        <v>42</v>
      </c>
      <c r="AA11" s="13" t="s">
        <v>43</v>
      </c>
      <c r="AB11" s="13" t="s">
        <v>44</v>
      </c>
      <c r="AC11" s="13" t="s">
        <v>45</v>
      </c>
      <c r="AD11" s="13" t="s">
        <v>46</v>
      </c>
      <c r="AE11" s="13" t="s">
        <v>47</v>
      </c>
      <c r="AF11" s="13" t="s">
        <v>48</v>
      </c>
      <c r="AG11" s="13" t="s">
        <v>49</v>
      </c>
      <c r="AH11" s="13" t="s">
        <v>50</v>
      </c>
      <c r="BH11" s="13" t="s">
        <v>51</v>
      </c>
      <c r="BI11" s="13" t="s">
        <v>52</v>
      </c>
      <c r="BJ11" s="13" t="s">
        <v>53</v>
      </c>
    </row>
    <row r="12" spans="1:76" ht="15" customHeight="1">
      <c r="A12" s="22"/>
      <c r="B12" s="23"/>
      <c r="C12" s="23" t="s">
        <v>54</v>
      </c>
      <c r="D12" s="59" t="s">
        <v>55</v>
      </c>
      <c r="E12" s="59"/>
      <c r="F12" s="24" t="s">
        <v>4</v>
      </c>
      <c r="G12" s="24" t="s">
        <v>4</v>
      </c>
      <c r="H12" s="24" t="s">
        <v>4</v>
      </c>
      <c r="I12" s="24" t="s">
        <v>4</v>
      </c>
      <c r="J12" s="6">
        <f>SUM(J13:J13)</f>
        <v>0</v>
      </c>
      <c r="K12" s="6">
        <f>SUM(K13:K13)</f>
        <v>0</v>
      </c>
      <c r="L12" s="6">
        <f>SUM(L13:L13)</f>
        <v>0</v>
      </c>
      <c r="M12" s="6">
        <f>SUM(M13:M13)</f>
        <v>0</v>
      </c>
      <c r="N12" s="13"/>
      <c r="O12" s="6">
        <f>SUM(O13:O13)</f>
        <v>1.025E-2</v>
      </c>
      <c r="P12" s="25"/>
      <c r="AI12" s="13"/>
      <c r="AS12" s="6">
        <f>SUM(AJ13:AJ13)</f>
        <v>0</v>
      </c>
      <c r="AT12" s="6">
        <f>SUM(AK13:AK13)</f>
        <v>0</v>
      </c>
      <c r="AU12" s="6">
        <f>SUM(AL13:AL13)</f>
        <v>0</v>
      </c>
    </row>
    <row r="13" spans="1:76" ht="15" customHeight="1">
      <c r="A13" s="26" t="s">
        <v>56</v>
      </c>
      <c r="B13" s="3"/>
      <c r="C13" s="3" t="s">
        <v>57</v>
      </c>
      <c r="D13" s="58" t="s">
        <v>58</v>
      </c>
      <c r="E13" s="58"/>
      <c r="F13" s="3" t="s">
        <v>59</v>
      </c>
      <c r="G13" s="27">
        <v>5</v>
      </c>
      <c r="H13" s="27"/>
      <c r="I13" s="28">
        <v>12</v>
      </c>
      <c r="J13" s="27">
        <f>ROUND(G13*AO13,2)</f>
        <v>0</v>
      </c>
      <c r="K13" s="27">
        <f>ROUND(G13*AP13,2)</f>
        <v>0</v>
      </c>
      <c r="L13" s="27">
        <f>ROUND(G13*H13,2)</f>
        <v>0</v>
      </c>
      <c r="M13" s="27">
        <f>L13*(1+BW13/100)</f>
        <v>0</v>
      </c>
      <c r="N13" s="27">
        <v>2.0500000000000002E-3</v>
      </c>
      <c r="O13" s="27">
        <f>G13*N13</f>
        <v>1.025E-2</v>
      </c>
      <c r="P13" s="29" t="s">
        <v>60</v>
      </c>
      <c r="Z13" s="27">
        <f>ROUND(IF(AQ13="5",BJ13,0),2)</f>
        <v>0</v>
      </c>
      <c r="AB13" s="27">
        <f>ROUND(IF(AQ13="1",BH13,0),2)</f>
        <v>0</v>
      </c>
      <c r="AC13" s="27">
        <f>ROUND(IF(AQ13="1",BI13,0),2)</f>
        <v>0</v>
      </c>
      <c r="AD13" s="27">
        <f>ROUND(IF(AQ13="7",BH13,0),2)</f>
        <v>0</v>
      </c>
      <c r="AE13" s="27">
        <f>ROUND(IF(AQ13="7",BI13,0),2)</f>
        <v>0</v>
      </c>
      <c r="AF13" s="27">
        <f>ROUND(IF(AQ13="2",BH13,0),2)</f>
        <v>0</v>
      </c>
      <c r="AG13" s="27">
        <f>ROUND(IF(AQ13="2",BI13,0),2)</f>
        <v>0</v>
      </c>
      <c r="AH13" s="27">
        <f>ROUND(IF(AQ13="0",BJ13,0),2)</f>
        <v>0</v>
      </c>
      <c r="AI13" s="13"/>
      <c r="AJ13" s="27">
        <f>IF(AN13=0,L13,0)</f>
        <v>0</v>
      </c>
      <c r="AK13" s="27">
        <f>IF(AN13=12,L13,0)</f>
        <v>0</v>
      </c>
      <c r="AL13" s="27">
        <f>IF(AN13=21,L13,0)</f>
        <v>0</v>
      </c>
      <c r="AN13" s="27">
        <v>12</v>
      </c>
      <c r="AO13" s="27">
        <f>H13*0.159021407</f>
        <v>0</v>
      </c>
      <c r="AP13" s="27">
        <f>H13*(1-0.159021407)</f>
        <v>0</v>
      </c>
      <c r="AQ13" s="30" t="s">
        <v>61</v>
      </c>
      <c r="AV13" s="27">
        <f>ROUND(AW13+AX13,2)</f>
        <v>0</v>
      </c>
      <c r="AW13" s="27">
        <f>ROUND(G13*AO13,2)</f>
        <v>0</v>
      </c>
      <c r="AX13" s="27">
        <f>ROUND(G13*AP13,2)</f>
        <v>0</v>
      </c>
      <c r="AY13" s="30" t="s">
        <v>62</v>
      </c>
      <c r="AZ13" s="30" t="s">
        <v>63</v>
      </c>
      <c r="BA13" s="13" t="s">
        <v>64</v>
      </c>
      <c r="BC13" s="27">
        <f>AW13+AX13</f>
        <v>0</v>
      </c>
      <c r="BD13" s="27">
        <f>H13/(100-BE13)*100</f>
        <v>0</v>
      </c>
      <c r="BE13" s="27">
        <v>0</v>
      </c>
      <c r="BF13" s="27">
        <f>O13</f>
        <v>1.025E-2</v>
      </c>
      <c r="BH13" s="27">
        <f>G13*AO13</f>
        <v>0</v>
      </c>
      <c r="BI13" s="27">
        <f>G13*AP13</f>
        <v>0</v>
      </c>
      <c r="BJ13" s="27">
        <f>G13*H13</f>
        <v>0</v>
      </c>
      <c r="BK13" s="27"/>
      <c r="BL13" s="27">
        <v>713</v>
      </c>
      <c r="BW13" s="27">
        <f>I13</f>
        <v>12</v>
      </c>
      <c r="BX13" s="4" t="s">
        <v>58</v>
      </c>
    </row>
    <row r="14" spans="1:76" ht="15" customHeight="1">
      <c r="A14" s="22"/>
      <c r="B14" s="23"/>
      <c r="C14" s="23" t="s">
        <v>65</v>
      </c>
      <c r="D14" s="59" t="s">
        <v>66</v>
      </c>
      <c r="E14" s="59"/>
      <c r="F14" s="24" t="s">
        <v>4</v>
      </c>
      <c r="G14" s="24" t="s">
        <v>4</v>
      </c>
      <c r="H14" s="24"/>
      <c r="I14" s="24" t="s">
        <v>4</v>
      </c>
      <c r="J14" s="6">
        <f>SUM(J15:J18)</f>
        <v>0</v>
      </c>
      <c r="K14" s="6">
        <f>SUM(K15:K18)</f>
        <v>0</v>
      </c>
      <c r="L14" s="6">
        <f>SUM(L15:L18)</f>
        <v>0</v>
      </c>
      <c r="M14" s="6">
        <f>SUM(M15:M18)</f>
        <v>0</v>
      </c>
      <c r="N14" s="13"/>
      <c r="O14" s="6">
        <f>SUM(O15:O18)</f>
        <v>5.2300000000000003E-3</v>
      </c>
      <c r="P14" s="25"/>
      <c r="AI14" s="13"/>
      <c r="AS14" s="6">
        <f>SUM(AJ15:AJ18)</f>
        <v>0</v>
      </c>
      <c r="AT14" s="6">
        <f>SUM(AK15:AK18)</f>
        <v>0</v>
      </c>
      <c r="AU14" s="6">
        <f>SUM(AL15:AL18)</f>
        <v>0</v>
      </c>
    </row>
    <row r="15" spans="1:76" ht="15" customHeight="1">
      <c r="A15" s="26" t="s">
        <v>67</v>
      </c>
      <c r="B15" s="3"/>
      <c r="C15" s="3" t="s">
        <v>68</v>
      </c>
      <c r="D15" s="58" t="s">
        <v>69</v>
      </c>
      <c r="E15" s="58"/>
      <c r="F15" s="3" t="s">
        <v>70</v>
      </c>
      <c r="G15" s="27">
        <v>5</v>
      </c>
      <c r="H15" s="27"/>
      <c r="I15" s="28">
        <v>12</v>
      </c>
      <c r="J15" s="27">
        <f>ROUND(G15*AO15,2)</f>
        <v>0</v>
      </c>
      <c r="K15" s="27">
        <f>ROUND(G15*AP15,2)</f>
        <v>0</v>
      </c>
      <c r="L15" s="27">
        <f>ROUND(G15*H15,2)</f>
        <v>0</v>
      </c>
      <c r="M15" s="27">
        <f>L15*(1+BW15/100)</f>
        <v>0</v>
      </c>
      <c r="N15" s="27">
        <v>4.8999999999999998E-4</v>
      </c>
      <c r="O15" s="27">
        <f>G15*N15</f>
        <v>2.4499999999999999E-3</v>
      </c>
      <c r="P15" s="29" t="s">
        <v>60</v>
      </c>
      <c r="Z15" s="27">
        <f>ROUND(IF(AQ15="5",BJ15,0),2)</f>
        <v>0</v>
      </c>
      <c r="AB15" s="27">
        <f>ROUND(IF(AQ15="1",BH15,0),2)</f>
        <v>0</v>
      </c>
      <c r="AC15" s="27">
        <f>ROUND(IF(AQ15="1",BI15,0),2)</f>
        <v>0</v>
      </c>
      <c r="AD15" s="27">
        <f>ROUND(IF(AQ15="7",BH15,0),2)</f>
        <v>0</v>
      </c>
      <c r="AE15" s="27">
        <f>ROUND(IF(AQ15="7",BI15,0),2)</f>
        <v>0</v>
      </c>
      <c r="AF15" s="27">
        <f>ROUND(IF(AQ15="2",BH15,0),2)</f>
        <v>0</v>
      </c>
      <c r="AG15" s="27">
        <f>ROUND(IF(AQ15="2",BI15,0),2)</f>
        <v>0</v>
      </c>
      <c r="AH15" s="27">
        <f>ROUND(IF(AQ15="0",BJ15,0),2)</f>
        <v>0</v>
      </c>
      <c r="AI15" s="13"/>
      <c r="AJ15" s="27">
        <f>IF(AN15=0,L15,0)</f>
        <v>0</v>
      </c>
      <c r="AK15" s="27">
        <f>IF(AN15=12,L15,0)</f>
        <v>0</v>
      </c>
      <c r="AL15" s="27">
        <f>IF(AN15=21,L15,0)</f>
        <v>0</v>
      </c>
      <c r="AN15" s="27">
        <v>12</v>
      </c>
      <c r="AO15" s="27">
        <f>H15*0.191660584</f>
        <v>0</v>
      </c>
      <c r="AP15" s="27">
        <f>H15*(1-0.191660584)</f>
        <v>0</v>
      </c>
      <c r="AQ15" s="30" t="s">
        <v>61</v>
      </c>
      <c r="AV15" s="27">
        <f>ROUND(AW15+AX15,2)</f>
        <v>0</v>
      </c>
      <c r="AW15" s="27">
        <f>ROUND(G15*AO15,2)</f>
        <v>0</v>
      </c>
      <c r="AX15" s="27">
        <f>ROUND(G15*AP15,2)</f>
        <v>0</v>
      </c>
      <c r="AY15" s="30" t="s">
        <v>71</v>
      </c>
      <c r="AZ15" s="30" t="s">
        <v>72</v>
      </c>
      <c r="BA15" s="13" t="s">
        <v>64</v>
      </c>
      <c r="BC15" s="27">
        <f>AW15+AX15</f>
        <v>0</v>
      </c>
      <c r="BD15" s="27">
        <f>H15/(100-BE15)*100</f>
        <v>0</v>
      </c>
      <c r="BE15" s="27">
        <v>0</v>
      </c>
      <c r="BF15" s="27">
        <f>O15</f>
        <v>2.4499999999999999E-3</v>
      </c>
      <c r="BH15" s="27">
        <f>G15*AO15</f>
        <v>0</v>
      </c>
      <c r="BI15" s="27">
        <f>G15*AP15</f>
        <v>0</v>
      </c>
      <c r="BJ15" s="27">
        <f>G15*H15</f>
        <v>0</v>
      </c>
      <c r="BK15" s="27"/>
      <c r="BL15" s="27">
        <v>722</v>
      </c>
      <c r="BW15" s="27">
        <f>I15</f>
        <v>12</v>
      </c>
      <c r="BX15" s="4" t="s">
        <v>69</v>
      </c>
    </row>
    <row r="16" spans="1:76" ht="15" customHeight="1">
      <c r="A16" s="26" t="s">
        <v>73</v>
      </c>
      <c r="B16" s="3"/>
      <c r="C16" s="3" t="s">
        <v>74</v>
      </c>
      <c r="D16" s="58" t="s">
        <v>75</v>
      </c>
      <c r="E16" s="58"/>
      <c r="F16" s="3" t="s">
        <v>70</v>
      </c>
      <c r="G16" s="27">
        <v>5</v>
      </c>
      <c r="H16" s="27"/>
      <c r="I16" s="28">
        <v>12</v>
      </c>
      <c r="J16" s="27">
        <f>ROUND(G16*AO16,2)</f>
        <v>0</v>
      </c>
      <c r="K16" s="27">
        <f>ROUND(G16*AP16,2)</f>
        <v>0</v>
      </c>
      <c r="L16" s="27">
        <f>ROUND(G16*H16,2)</f>
        <v>0</v>
      </c>
      <c r="M16" s="27">
        <f>L16*(1+BW16/100)</f>
        <v>0</v>
      </c>
      <c r="N16" s="27">
        <v>1.3999999999999999E-4</v>
      </c>
      <c r="O16" s="27">
        <f>G16*N16</f>
        <v>6.9999999999999988E-4</v>
      </c>
      <c r="P16" s="29" t="s">
        <v>60</v>
      </c>
      <c r="Z16" s="27">
        <f>ROUND(IF(AQ16="5",BJ16,0),2)</f>
        <v>0</v>
      </c>
      <c r="AB16" s="27">
        <f>ROUND(IF(AQ16="1",BH16,0),2)</f>
        <v>0</v>
      </c>
      <c r="AC16" s="27">
        <f>ROUND(IF(AQ16="1",BI16,0),2)</f>
        <v>0</v>
      </c>
      <c r="AD16" s="27">
        <f>ROUND(IF(AQ16="7",BH16,0),2)</f>
        <v>0</v>
      </c>
      <c r="AE16" s="27">
        <f>ROUND(IF(AQ16="7",BI16,0),2)</f>
        <v>0</v>
      </c>
      <c r="AF16" s="27">
        <f>ROUND(IF(AQ16="2",BH16,0),2)</f>
        <v>0</v>
      </c>
      <c r="AG16" s="27">
        <f>ROUND(IF(AQ16="2",BI16,0),2)</f>
        <v>0</v>
      </c>
      <c r="AH16" s="27">
        <f>ROUND(IF(AQ16="0",BJ16,0),2)</f>
        <v>0</v>
      </c>
      <c r="AI16" s="13"/>
      <c r="AJ16" s="27">
        <f>IF(AN16=0,L16,0)</f>
        <v>0</v>
      </c>
      <c r="AK16" s="27">
        <f>IF(AN16=12,L16,0)</f>
        <v>0</v>
      </c>
      <c r="AL16" s="27">
        <f>IF(AN16=21,L16,0)</f>
        <v>0</v>
      </c>
      <c r="AN16" s="27">
        <v>12</v>
      </c>
      <c r="AO16" s="27">
        <f>H16*0.615216201</f>
        <v>0</v>
      </c>
      <c r="AP16" s="27">
        <f>H16*(1-0.615216201)</f>
        <v>0</v>
      </c>
      <c r="AQ16" s="30" t="s">
        <v>61</v>
      </c>
      <c r="AV16" s="27">
        <f>ROUND(AW16+AX16,2)</f>
        <v>0</v>
      </c>
      <c r="AW16" s="27">
        <f>ROUND(G16*AO16,2)</f>
        <v>0</v>
      </c>
      <c r="AX16" s="27">
        <f>ROUND(G16*AP16,2)</f>
        <v>0</v>
      </c>
      <c r="AY16" s="30" t="s">
        <v>71</v>
      </c>
      <c r="AZ16" s="30" t="s">
        <v>72</v>
      </c>
      <c r="BA16" s="13" t="s">
        <v>64</v>
      </c>
      <c r="BC16" s="27">
        <f>AW16+AX16</f>
        <v>0</v>
      </c>
      <c r="BD16" s="27">
        <f>H16/(100-BE16)*100</f>
        <v>0</v>
      </c>
      <c r="BE16" s="27">
        <v>0</v>
      </c>
      <c r="BF16" s="27">
        <f>O16</f>
        <v>6.9999999999999988E-4</v>
      </c>
      <c r="BH16" s="27">
        <f>G16*AO16</f>
        <v>0</v>
      </c>
      <c r="BI16" s="27">
        <f>G16*AP16</f>
        <v>0</v>
      </c>
      <c r="BJ16" s="27">
        <f>G16*H16</f>
        <v>0</v>
      </c>
      <c r="BK16" s="27"/>
      <c r="BL16" s="27">
        <v>722</v>
      </c>
      <c r="BW16" s="27">
        <f>I16</f>
        <v>12</v>
      </c>
      <c r="BX16" s="4" t="s">
        <v>75</v>
      </c>
    </row>
    <row r="17" spans="1:76" ht="15" customHeight="1">
      <c r="A17" s="26" t="s">
        <v>76</v>
      </c>
      <c r="B17" s="3"/>
      <c r="C17" s="3" t="s">
        <v>77</v>
      </c>
      <c r="D17" s="58" t="s">
        <v>78</v>
      </c>
      <c r="E17" s="58"/>
      <c r="F17" s="3" t="s">
        <v>70</v>
      </c>
      <c r="G17" s="27">
        <v>26</v>
      </c>
      <c r="H17" s="27"/>
      <c r="I17" s="28">
        <v>12</v>
      </c>
      <c r="J17" s="27">
        <f>ROUND(G17*AO17,2)</f>
        <v>0</v>
      </c>
      <c r="K17" s="27">
        <f>ROUND(G17*AP17,2)</f>
        <v>0</v>
      </c>
      <c r="L17" s="27">
        <f>ROUND(G17*H17,2)</f>
        <v>0</v>
      </c>
      <c r="M17" s="27">
        <f>L17*(1+BW17/100)</f>
        <v>0</v>
      </c>
      <c r="N17" s="27">
        <v>8.0000000000000007E-5</v>
      </c>
      <c r="O17" s="27">
        <f>G17*N17</f>
        <v>2.0800000000000003E-3</v>
      </c>
      <c r="P17" s="29" t="s">
        <v>60</v>
      </c>
      <c r="Z17" s="27">
        <f>ROUND(IF(AQ17="5",BJ17,0),2)</f>
        <v>0</v>
      </c>
      <c r="AB17" s="27">
        <f>ROUND(IF(AQ17="1",BH17,0),2)</f>
        <v>0</v>
      </c>
      <c r="AC17" s="27">
        <f>ROUND(IF(AQ17="1",BI17,0),2)</f>
        <v>0</v>
      </c>
      <c r="AD17" s="27">
        <f>ROUND(IF(AQ17="7",BH17,0),2)</f>
        <v>0</v>
      </c>
      <c r="AE17" s="27">
        <f>ROUND(IF(AQ17="7",BI17,0),2)</f>
        <v>0</v>
      </c>
      <c r="AF17" s="27">
        <f>ROUND(IF(AQ17="2",BH17,0),2)</f>
        <v>0</v>
      </c>
      <c r="AG17" s="27">
        <f>ROUND(IF(AQ17="2",BI17,0),2)</f>
        <v>0</v>
      </c>
      <c r="AH17" s="27">
        <f>ROUND(IF(AQ17="0",BJ17,0),2)</f>
        <v>0</v>
      </c>
      <c r="AI17" s="13"/>
      <c r="AJ17" s="27">
        <f>IF(AN17=0,L17,0)</f>
        <v>0</v>
      </c>
      <c r="AK17" s="27">
        <f>IF(AN17=12,L17,0)</f>
        <v>0</v>
      </c>
      <c r="AL17" s="27">
        <f>IF(AN17=21,L17,0)</f>
        <v>0</v>
      </c>
      <c r="AN17" s="27">
        <v>12</v>
      </c>
      <c r="AO17" s="27">
        <f>H17*0.599757869</f>
        <v>0</v>
      </c>
      <c r="AP17" s="27">
        <f>H17*(1-0.599757869)</f>
        <v>0</v>
      </c>
      <c r="AQ17" s="30" t="s">
        <v>61</v>
      </c>
      <c r="AV17" s="27">
        <f>ROUND(AW17+AX17,2)</f>
        <v>0</v>
      </c>
      <c r="AW17" s="27">
        <f>ROUND(G17*AO17,2)</f>
        <v>0</v>
      </c>
      <c r="AX17" s="27">
        <f>ROUND(G17*AP17,2)</f>
        <v>0</v>
      </c>
      <c r="AY17" s="30" t="s">
        <v>71</v>
      </c>
      <c r="AZ17" s="30" t="s">
        <v>72</v>
      </c>
      <c r="BA17" s="13" t="s">
        <v>64</v>
      </c>
      <c r="BC17" s="27">
        <f>AW17+AX17</f>
        <v>0</v>
      </c>
      <c r="BD17" s="27">
        <f>H17/(100-BE17)*100</f>
        <v>0</v>
      </c>
      <c r="BE17" s="27">
        <v>0</v>
      </c>
      <c r="BF17" s="27">
        <f>O17</f>
        <v>2.0800000000000003E-3</v>
      </c>
      <c r="BH17" s="27">
        <f>G17*AO17</f>
        <v>0</v>
      </c>
      <c r="BI17" s="27">
        <f>G17*AP17</f>
        <v>0</v>
      </c>
      <c r="BJ17" s="27">
        <f>G17*H17</f>
        <v>0</v>
      </c>
      <c r="BK17" s="27"/>
      <c r="BL17" s="27">
        <v>722</v>
      </c>
      <c r="BW17" s="27">
        <f>I17</f>
        <v>12</v>
      </c>
      <c r="BX17" s="4" t="s">
        <v>78</v>
      </c>
    </row>
    <row r="18" spans="1:76" ht="15" customHeight="1">
      <c r="A18" s="26" t="s">
        <v>79</v>
      </c>
      <c r="B18" s="3"/>
      <c r="C18" s="3" t="s">
        <v>80</v>
      </c>
      <c r="D18" s="58" t="s">
        <v>81</v>
      </c>
      <c r="E18" s="58"/>
      <c r="F18" s="3" t="s">
        <v>70</v>
      </c>
      <c r="G18" s="27">
        <v>31</v>
      </c>
      <c r="H18" s="27"/>
      <c r="I18" s="28">
        <v>12</v>
      </c>
      <c r="J18" s="27">
        <f>ROUND(G18*AO18,2)</f>
        <v>0</v>
      </c>
      <c r="K18" s="27">
        <f>ROUND(G18*AP18,2)</f>
        <v>0</v>
      </c>
      <c r="L18" s="27">
        <f>ROUND(G18*H18,2)</f>
        <v>0</v>
      </c>
      <c r="M18" s="27">
        <f>L18*(1+BW18/100)</f>
        <v>0</v>
      </c>
      <c r="N18" s="27">
        <v>0</v>
      </c>
      <c r="O18" s="27">
        <f>G18*N18</f>
        <v>0</v>
      </c>
      <c r="P18" s="29" t="s">
        <v>60</v>
      </c>
      <c r="Z18" s="27">
        <f>ROUND(IF(AQ18="5",BJ18,0),2)</f>
        <v>0</v>
      </c>
      <c r="AB18" s="27">
        <f>ROUND(IF(AQ18="1",BH18,0),2)</f>
        <v>0</v>
      </c>
      <c r="AC18" s="27">
        <f>ROUND(IF(AQ18="1",BI18,0),2)</f>
        <v>0</v>
      </c>
      <c r="AD18" s="27">
        <f>ROUND(IF(AQ18="7",BH18,0),2)</f>
        <v>0</v>
      </c>
      <c r="AE18" s="27">
        <f>ROUND(IF(AQ18="7",BI18,0),2)</f>
        <v>0</v>
      </c>
      <c r="AF18" s="27">
        <f>ROUND(IF(AQ18="2",BH18,0),2)</f>
        <v>0</v>
      </c>
      <c r="AG18" s="27">
        <f>ROUND(IF(AQ18="2",BI18,0),2)</f>
        <v>0</v>
      </c>
      <c r="AH18" s="27">
        <f>ROUND(IF(AQ18="0",BJ18,0),2)</f>
        <v>0</v>
      </c>
      <c r="AI18" s="13"/>
      <c r="AJ18" s="27">
        <f>IF(AN18=0,L18,0)</f>
        <v>0</v>
      </c>
      <c r="AK18" s="27">
        <f>IF(AN18=12,L18,0)</f>
        <v>0</v>
      </c>
      <c r="AL18" s="27">
        <f>IF(AN18=21,L18,0)</f>
        <v>0</v>
      </c>
      <c r="AN18" s="27">
        <v>12</v>
      </c>
      <c r="AO18" s="27">
        <f>H18*0</f>
        <v>0</v>
      </c>
      <c r="AP18" s="27">
        <f>H18*(1-0)</f>
        <v>0</v>
      </c>
      <c r="AQ18" s="30" t="s">
        <v>61</v>
      </c>
      <c r="AV18" s="27">
        <f>ROUND(AW18+AX18,2)</f>
        <v>0</v>
      </c>
      <c r="AW18" s="27">
        <f>ROUND(G18*AO18,2)</f>
        <v>0</v>
      </c>
      <c r="AX18" s="27">
        <f>ROUND(G18*AP18,2)</f>
        <v>0</v>
      </c>
      <c r="AY18" s="30" t="s">
        <v>71</v>
      </c>
      <c r="AZ18" s="30" t="s">
        <v>72</v>
      </c>
      <c r="BA18" s="13" t="s">
        <v>64</v>
      </c>
      <c r="BC18" s="27">
        <f>AW18+AX18</f>
        <v>0</v>
      </c>
      <c r="BD18" s="27">
        <f>H18/(100-BE18)*100</f>
        <v>0</v>
      </c>
      <c r="BE18" s="27">
        <v>0</v>
      </c>
      <c r="BF18" s="27">
        <f>O18</f>
        <v>0</v>
      </c>
      <c r="BH18" s="27">
        <f>G18*AO18</f>
        <v>0</v>
      </c>
      <c r="BI18" s="27">
        <f>G18*AP18</f>
        <v>0</v>
      </c>
      <c r="BJ18" s="27">
        <f>G18*H18</f>
        <v>0</v>
      </c>
      <c r="BK18" s="27"/>
      <c r="BL18" s="27">
        <v>722</v>
      </c>
      <c r="BW18" s="27">
        <f>I18</f>
        <v>12</v>
      </c>
      <c r="BX18" s="4" t="s">
        <v>81</v>
      </c>
    </row>
    <row r="19" spans="1:76" ht="15" customHeight="1">
      <c r="A19" s="22"/>
      <c r="B19" s="23"/>
      <c r="C19" s="23" t="s">
        <v>82</v>
      </c>
      <c r="D19" s="59" t="s">
        <v>83</v>
      </c>
      <c r="E19" s="59"/>
      <c r="F19" s="24" t="s">
        <v>4</v>
      </c>
      <c r="G19" s="24" t="s">
        <v>4</v>
      </c>
      <c r="H19" s="24"/>
      <c r="I19" s="24" t="s">
        <v>4</v>
      </c>
      <c r="J19" s="6">
        <f>SUM(J20:J36)</f>
        <v>0</v>
      </c>
      <c r="K19" s="6">
        <f>SUM(K20:K36)</f>
        <v>0</v>
      </c>
      <c r="L19" s="6">
        <f>SUM(L20:L36)</f>
        <v>0</v>
      </c>
      <c r="M19" s="6">
        <f>SUM(M20:M36)</f>
        <v>0</v>
      </c>
      <c r="N19" s="13"/>
      <c r="O19" s="6">
        <f>SUM(O20:O36)</f>
        <v>0.83120000000000005</v>
      </c>
      <c r="P19" s="25"/>
      <c r="AI19" s="13"/>
      <c r="AS19" s="6">
        <f>SUM(AJ20:AJ36)</f>
        <v>0</v>
      </c>
      <c r="AT19" s="6">
        <f>SUM(AK20:AK36)</f>
        <v>0</v>
      </c>
      <c r="AU19" s="6">
        <f>SUM(AL20:AL36)</f>
        <v>0</v>
      </c>
    </row>
    <row r="20" spans="1:76" ht="15" customHeight="1">
      <c r="A20" s="26" t="s">
        <v>84</v>
      </c>
      <c r="B20" s="3"/>
      <c r="C20" s="3" t="s">
        <v>85</v>
      </c>
      <c r="D20" s="58" t="s">
        <v>86</v>
      </c>
      <c r="E20" s="58"/>
      <c r="F20" s="3" t="s">
        <v>87</v>
      </c>
      <c r="G20" s="27">
        <v>2</v>
      </c>
      <c r="H20" s="27"/>
      <c r="I20" s="28">
        <v>12</v>
      </c>
      <c r="J20" s="27">
        <f t="shared" ref="J20:J36" si="0">ROUND(G20*AO20,2)</f>
        <v>0</v>
      </c>
      <c r="K20" s="27">
        <f t="shared" ref="K20:K36" si="1">ROUND(G20*AP20,2)</f>
        <v>0</v>
      </c>
      <c r="L20" s="27">
        <f t="shared" ref="L20:L36" si="2">ROUND(G20*H20,2)</f>
        <v>0</v>
      </c>
      <c r="M20" s="27">
        <f t="shared" ref="M20:M36" si="3">L20*(1+BW20/100)</f>
        <v>0</v>
      </c>
      <c r="N20" s="27">
        <v>0.41510000000000002</v>
      </c>
      <c r="O20" s="27">
        <f t="shared" ref="O20:O36" si="4">G20*N20</f>
        <v>0.83020000000000005</v>
      </c>
      <c r="P20" s="29" t="s">
        <v>60</v>
      </c>
      <c r="Z20" s="27">
        <f t="shared" ref="Z20:Z36" si="5">ROUND(IF(AQ20="5",BJ20,0),2)</f>
        <v>0</v>
      </c>
      <c r="AB20" s="27">
        <f t="shared" ref="AB20:AB36" si="6">ROUND(IF(AQ20="1",BH20,0),2)</f>
        <v>0</v>
      </c>
      <c r="AC20" s="27">
        <f t="shared" ref="AC20:AC36" si="7">ROUND(IF(AQ20="1",BI20,0),2)</f>
        <v>0</v>
      </c>
      <c r="AD20" s="27">
        <f t="shared" ref="AD20:AD36" si="8">ROUND(IF(AQ20="7",BH20,0),2)</f>
        <v>0</v>
      </c>
      <c r="AE20" s="27">
        <f t="shared" ref="AE20:AE36" si="9">ROUND(IF(AQ20="7",BI20,0),2)</f>
        <v>0</v>
      </c>
      <c r="AF20" s="27">
        <f t="shared" ref="AF20:AF36" si="10">ROUND(IF(AQ20="2",BH20,0),2)</f>
        <v>0</v>
      </c>
      <c r="AG20" s="27">
        <f t="shared" ref="AG20:AG36" si="11">ROUND(IF(AQ20="2",BI20,0),2)</f>
        <v>0</v>
      </c>
      <c r="AH20" s="27">
        <f t="shared" ref="AH20:AH36" si="12">ROUND(IF(AQ20="0",BJ20,0),2)</f>
        <v>0</v>
      </c>
      <c r="AI20" s="13"/>
      <c r="AJ20" s="27">
        <f t="shared" ref="AJ20:AJ36" si="13">IF(AN20=0,L20,0)</f>
        <v>0</v>
      </c>
      <c r="AK20" s="27">
        <f t="shared" ref="AK20:AK36" si="14">IF(AN20=12,L20,0)</f>
        <v>0</v>
      </c>
      <c r="AL20" s="27">
        <f t="shared" ref="AL20:AL36" si="15">IF(AN20=21,L20,0)</f>
        <v>0</v>
      </c>
      <c r="AN20" s="27">
        <v>12</v>
      </c>
      <c r="AO20" s="27">
        <f>H20*0.004403571</f>
        <v>0</v>
      </c>
      <c r="AP20" s="27">
        <f>H20*(1-0.004403571)</f>
        <v>0</v>
      </c>
      <c r="AQ20" s="30" t="s">
        <v>61</v>
      </c>
      <c r="AV20" s="27">
        <f t="shared" ref="AV20:AV36" si="16">ROUND(AW20+AX20,2)</f>
        <v>0</v>
      </c>
      <c r="AW20" s="27">
        <f t="shared" ref="AW20:AW36" si="17">ROUND(G20*AO20,2)</f>
        <v>0</v>
      </c>
      <c r="AX20" s="27">
        <f t="shared" ref="AX20:AX36" si="18">ROUND(G20*AP20,2)</f>
        <v>0</v>
      </c>
      <c r="AY20" s="30" t="s">
        <v>88</v>
      </c>
      <c r="AZ20" s="30" t="s">
        <v>89</v>
      </c>
      <c r="BA20" s="13" t="s">
        <v>64</v>
      </c>
      <c r="BC20" s="27">
        <f t="shared" ref="BC20:BC36" si="19">AW20+AX20</f>
        <v>0</v>
      </c>
      <c r="BD20" s="27">
        <f t="shared" ref="BD20:BD36" si="20">H20/(100-BE20)*100</f>
        <v>0</v>
      </c>
      <c r="BE20" s="27">
        <v>0</v>
      </c>
      <c r="BF20" s="27">
        <f t="shared" ref="BF20:BF36" si="21">O20</f>
        <v>0.83020000000000005</v>
      </c>
      <c r="BH20" s="27">
        <f t="shared" ref="BH20:BH36" si="22">G20*AO20</f>
        <v>0</v>
      </c>
      <c r="BI20" s="27">
        <f t="shared" ref="BI20:BI36" si="23">G20*AP20</f>
        <v>0</v>
      </c>
      <c r="BJ20" s="27">
        <f t="shared" ref="BJ20:BJ36" si="24">G20*H20</f>
        <v>0</v>
      </c>
      <c r="BK20" s="27"/>
      <c r="BL20" s="27">
        <v>731</v>
      </c>
      <c r="BW20" s="27">
        <f t="shared" ref="BW20:BW36" si="25">I20</f>
        <v>12</v>
      </c>
      <c r="BX20" s="4" t="s">
        <v>86</v>
      </c>
    </row>
    <row r="21" spans="1:76" ht="15" customHeight="1">
      <c r="A21" s="26" t="s">
        <v>61</v>
      </c>
      <c r="B21" s="3"/>
      <c r="C21" s="3" t="s">
        <v>90</v>
      </c>
      <c r="D21" s="58" t="s">
        <v>91</v>
      </c>
      <c r="E21" s="58"/>
      <c r="F21" s="3" t="s">
        <v>92</v>
      </c>
      <c r="G21" s="27">
        <v>2</v>
      </c>
      <c r="H21" s="27"/>
      <c r="I21" s="28">
        <v>12</v>
      </c>
      <c r="J21" s="27">
        <f t="shared" si="0"/>
        <v>0</v>
      </c>
      <c r="K21" s="27">
        <f t="shared" si="1"/>
        <v>0</v>
      </c>
      <c r="L21" s="27">
        <f t="shared" si="2"/>
        <v>0</v>
      </c>
      <c r="M21" s="27">
        <f t="shared" si="3"/>
        <v>0</v>
      </c>
      <c r="N21" s="27">
        <v>0</v>
      </c>
      <c r="O21" s="27">
        <f t="shared" si="4"/>
        <v>0</v>
      </c>
      <c r="P21" s="29"/>
      <c r="Z21" s="27">
        <f t="shared" si="5"/>
        <v>0</v>
      </c>
      <c r="AB21" s="27">
        <f t="shared" si="6"/>
        <v>0</v>
      </c>
      <c r="AC21" s="27">
        <f t="shared" si="7"/>
        <v>0</v>
      </c>
      <c r="AD21" s="27">
        <f t="shared" si="8"/>
        <v>0</v>
      </c>
      <c r="AE21" s="27">
        <f t="shared" si="9"/>
        <v>0</v>
      </c>
      <c r="AF21" s="27">
        <f t="shared" si="10"/>
        <v>0</v>
      </c>
      <c r="AG21" s="27">
        <f t="shared" si="11"/>
        <v>0</v>
      </c>
      <c r="AH21" s="27">
        <f t="shared" si="12"/>
        <v>0</v>
      </c>
      <c r="AI21" s="13"/>
      <c r="AJ21" s="27">
        <f t="shared" si="13"/>
        <v>0</v>
      </c>
      <c r="AK21" s="27">
        <f t="shared" si="14"/>
        <v>0</v>
      </c>
      <c r="AL21" s="27">
        <f t="shared" si="15"/>
        <v>0</v>
      </c>
      <c r="AN21" s="27">
        <v>12</v>
      </c>
      <c r="AO21" s="27">
        <f>H21*1</f>
        <v>0</v>
      </c>
      <c r="AP21" s="27">
        <f>H21*(1-1)</f>
        <v>0</v>
      </c>
      <c r="AQ21" s="30" t="s">
        <v>61</v>
      </c>
      <c r="AV21" s="27">
        <f t="shared" si="16"/>
        <v>0</v>
      </c>
      <c r="AW21" s="27">
        <f t="shared" si="17"/>
        <v>0</v>
      </c>
      <c r="AX21" s="27">
        <f t="shared" si="18"/>
        <v>0</v>
      </c>
      <c r="AY21" s="30" t="s">
        <v>88</v>
      </c>
      <c r="AZ21" s="30" t="s">
        <v>89</v>
      </c>
      <c r="BA21" s="13" t="s">
        <v>64</v>
      </c>
      <c r="BC21" s="27">
        <f t="shared" si="19"/>
        <v>0</v>
      </c>
      <c r="BD21" s="27">
        <f t="shared" si="20"/>
        <v>0</v>
      </c>
      <c r="BE21" s="27">
        <v>0</v>
      </c>
      <c r="BF21" s="27">
        <f t="shared" si="21"/>
        <v>0</v>
      </c>
      <c r="BH21" s="27">
        <f t="shared" si="22"/>
        <v>0</v>
      </c>
      <c r="BI21" s="27">
        <f t="shared" si="23"/>
        <v>0</v>
      </c>
      <c r="BJ21" s="27">
        <f t="shared" si="24"/>
        <v>0</v>
      </c>
      <c r="BK21" s="27"/>
      <c r="BL21" s="27">
        <v>731</v>
      </c>
      <c r="BW21" s="27">
        <f t="shared" si="25"/>
        <v>12</v>
      </c>
      <c r="BX21" s="4" t="s">
        <v>91</v>
      </c>
    </row>
    <row r="22" spans="1:76" ht="15" customHeight="1">
      <c r="A22" s="26" t="s">
        <v>93</v>
      </c>
      <c r="B22" s="3"/>
      <c r="C22" s="3" t="s">
        <v>94</v>
      </c>
      <c r="D22" s="58" t="s">
        <v>95</v>
      </c>
      <c r="E22" s="58"/>
      <c r="F22" s="3" t="s">
        <v>96</v>
      </c>
      <c r="G22" s="27">
        <v>2</v>
      </c>
      <c r="H22" s="27"/>
      <c r="I22" s="28">
        <v>12</v>
      </c>
      <c r="J22" s="27">
        <f t="shared" si="0"/>
        <v>0</v>
      </c>
      <c r="K22" s="27">
        <f t="shared" si="1"/>
        <v>0</v>
      </c>
      <c r="L22" s="27">
        <f t="shared" si="2"/>
        <v>0</v>
      </c>
      <c r="M22" s="27">
        <f t="shared" si="3"/>
        <v>0</v>
      </c>
      <c r="N22" s="27">
        <v>5.0000000000000001E-4</v>
      </c>
      <c r="O22" s="27">
        <f t="shared" si="4"/>
        <v>1E-3</v>
      </c>
      <c r="P22" s="29" t="s">
        <v>60</v>
      </c>
      <c r="Z22" s="27">
        <f t="shared" si="5"/>
        <v>0</v>
      </c>
      <c r="AB22" s="27">
        <f t="shared" si="6"/>
        <v>0</v>
      </c>
      <c r="AC22" s="27">
        <f t="shared" si="7"/>
        <v>0</v>
      </c>
      <c r="AD22" s="27">
        <f t="shared" si="8"/>
        <v>0</v>
      </c>
      <c r="AE22" s="27">
        <f t="shared" si="9"/>
        <v>0</v>
      </c>
      <c r="AF22" s="27">
        <f t="shared" si="10"/>
        <v>0</v>
      </c>
      <c r="AG22" s="27">
        <f t="shared" si="11"/>
        <v>0</v>
      </c>
      <c r="AH22" s="27">
        <f t="shared" si="12"/>
        <v>0</v>
      </c>
      <c r="AI22" s="13"/>
      <c r="AJ22" s="27">
        <f t="shared" si="13"/>
        <v>0</v>
      </c>
      <c r="AK22" s="27">
        <f t="shared" si="14"/>
        <v>0</v>
      </c>
      <c r="AL22" s="27">
        <f t="shared" si="15"/>
        <v>0</v>
      </c>
      <c r="AN22" s="27">
        <v>12</v>
      </c>
      <c r="AO22" s="27">
        <f>H22*0.016198183</f>
        <v>0</v>
      </c>
      <c r="AP22" s="27">
        <f>H22*(1-0.016198183)</f>
        <v>0</v>
      </c>
      <c r="AQ22" s="30" t="s">
        <v>61</v>
      </c>
      <c r="AV22" s="27">
        <f t="shared" si="16"/>
        <v>0</v>
      </c>
      <c r="AW22" s="27">
        <f t="shared" si="17"/>
        <v>0</v>
      </c>
      <c r="AX22" s="27">
        <f t="shared" si="18"/>
        <v>0</v>
      </c>
      <c r="AY22" s="30" t="s">
        <v>88</v>
      </c>
      <c r="AZ22" s="30" t="s">
        <v>89</v>
      </c>
      <c r="BA22" s="13" t="s">
        <v>64</v>
      </c>
      <c r="BC22" s="27">
        <f t="shared" si="19"/>
        <v>0</v>
      </c>
      <c r="BD22" s="27">
        <f t="shared" si="20"/>
        <v>0</v>
      </c>
      <c r="BE22" s="27">
        <v>0</v>
      </c>
      <c r="BF22" s="27">
        <f t="shared" si="21"/>
        <v>1E-3</v>
      </c>
      <c r="BH22" s="27">
        <f t="shared" si="22"/>
        <v>0</v>
      </c>
      <c r="BI22" s="27">
        <f t="shared" si="23"/>
        <v>0</v>
      </c>
      <c r="BJ22" s="27">
        <f t="shared" si="24"/>
        <v>0</v>
      </c>
      <c r="BK22" s="27"/>
      <c r="BL22" s="27">
        <v>731</v>
      </c>
      <c r="BW22" s="27">
        <f t="shared" si="25"/>
        <v>12</v>
      </c>
      <c r="BX22" s="4" t="s">
        <v>95</v>
      </c>
    </row>
    <row r="23" spans="1:76" ht="15" customHeight="1">
      <c r="A23" s="26" t="s">
        <v>97</v>
      </c>
      <c r="B23" s="3"/>
      <c r="C23" s="3" t="s">
        <v>98</v>
      </c>
      <c r="D23" s="58" t="s">
        <v>99</v>
      </c>
      <c r="E23" s="58"/>
      <c r="F23" s="3" t="s">
        <v>92</v>
      </c>
      <c r="G23" s="27">
        <v>1</v>
      </c>
      <c r="H23" s="27"/>
      <c r="I23" s="28">
        <v>12</v>
      </c>
      <c r="J23" s="27">
        <f t="shared" si="0"/>
        <v>0</v>
      </c>
      <c r="K23" s="27">
        <f t="shared" si="1"/>
        <v>0</v>
      </c>
      <c r="L23" s="27">
        <f t="shared" si="2"/>
        <v>0</v>
      </c>
      <c r="M23" s="27">
        <f t="shared" si="3"/>
        <v>0</v>
      </c>
      <c r="N23" s="27">
        <v>0</v>
      </c>
      <c r="O23" s="27">
        <f t="shared" si="4"/>
        <v>0</v>
      </c>
      <c r="P23" s="29"/>
      <c r="Z23" s="27">
        <f t="shared" si="5"/>
        <v>0</v>
      </c>
      <c r="AB23" s="27">
        <f t="shared" si="6"/>
        <v>0</v>
      </c>
      <c r="AC23" s="27">
        <f t="shared" si="7"/>
        <v>0</v>
      </c>
      <c r="AD23" s="27">
        <f t="shared" si="8"/>
        <v>0</v>
      </c>
      <c r="AE23" s="27">
        <f t="shared" si="9"/>
        <v>0</v>
      </c>
      <c r="AF23" s="27">
        <f t="shared" si="10"/>
        <v>0</v>
      </c>
      <c r="AG23" s="27">
        <f t="shared" si="11"/>
        <v>0</v>
      </c>
      <c r="AH23" s="27">
        <f t="shared" si="12"/>
        <v>0</v>
      </c>
      <c r="AI23" s="13"/>
      <c r="AJ23" s="27">
        <f t="shared" si="13"/>
        <v>0</v>
      </c>
      <c r="AK23" s="27">
        <f t="shared" si="14"/>
        <v>0</v>
      </c>
      <c r="AL23" s="27">
        <f t="shared" si="15"/>
        <v>0</v>
      </c>
      <c r="AN23" s="27">
        <v>12</v>
      </c>
      <c r="AO23" s="27">
        <f t="shared" ref="AO23:AO36" si="26">H23*1</f>
        <v>0</v>
      </c>
      <c r="AP23" s="27">
        <f t="shared" ref="AP23:AP36" si="27">H23*(1-1)</f>
        <v>0</v>
      </c>
      <c r="AQ23" s="30" t="s">
        <v>61</v>
      </c>
      <c r="AV23" s="27">
        <f t="shared" si="16"/>
        <v>0</v>
      </c>
      <c r="AW23" s="27">
        <f t="shared" si="17"/>
        <v>0</v>
      </c>
      <c r="AX23" s="27">
        <f t="shared" si="18"/>
        <v>0</v>
      </c>
      <c r="AY23" s="30" t="s">
        <v>88</v>
      </c>
      <c r="AZ23" s="30" t="s">
        <v>89</v>
      </c>
      <c r="BA23" s="13" t="s">
        <v>64</v>
      </c>
      <c r="BC23" s="27">
        <f t="shared" si="19"/>
        <v>0</v>
      </c>
      <c r="BD23" s="27">
        <f t="shared" si="20"/>
        <v>0</v>
      </c>
      <c r="BE23" s="27">
        <v>0</v>
      </c>
      <c r="BF23" s="27">
        <f t="shared" si="21"/>
        <v>0</v>
      </c>
      <c r="BH23" s="27">
        <f t="shared" si="22"/>
        <v>0</v>
      </c>
      <c r="BI23" s="27">
        <f t="shared" si="23"/>
        <v>0</v>
      </c>
      <c r="BJ23" s="27">
        <f t="shared" si="24"/>
        <v>0</v>
      </c>
      <c r="BK23" s="27"/>
      <c r="BL23" s="27">
        <v>731</v>
      </c>
      <c r="BW23" s="27">
        <f t="shared" si="25"/>
        <v>12</v>
      </c>
      <c r="BX23" s="4" t="s">
        <v>99</v>
      </c>
    </row>
    <row r="24" spans="1:76" ht="15" customHeight="1">
      <c r="A24" s="26" t="s">
        <v>100</v>
      </c>
      <c r="B24" s="3"/>
      <c r="C24" s="3" t="s">
        <v>101</v>
      </c>
      <c r="D24" s="58" t="s">
        <v>102</v>
      </c>
      <c r="E24" s="58"/>
      <c r="F24" s="3" t="s">
        <v>92</v>
      </c>
      <c r="G24" s="27">
        <v>2</v>
      </c>
      <c r="H24" s="27"/>
      <c r="I24" s="28">
        <v>12</v>
      </c>
      <c r="J24" s="27">
        <f t="shared" si="0"/>
        <v>0</v>
      </c>
      <c r="K24" s="27">
        <f t="shared" si="1"/>
        <v>0</v>
      </c>
      <c r="L24" s="27">
        <f t="shared" si="2"/>
        <v>0</v>
      </c>
      <c r="M24" s="27">
        <f t="shared" si="3"/>
        <v>0</v>
      </c>
      <c r="N24" s="27">
        <v>0</v>
      </c>
      <c r="O24" s="27">
        <f t="shared" si="4"/>
        <v>0</v>
      </c>
      <c r="P24" s="29"/>
      <c r="Z24" s="27">
        <f t="shared" si="5"/>
        <v>0</v>
      </c>
      <c r="AB24" s="27">
        <f t="shared" si="6"/>
        <v>0</v>
      </c>
      <c r="AC24" s="27">
        <f t="shared" si="7"/>
        <v>0</v>
      </c>
      <c r="AD24" s="27">
        <f t="shared" si="8"/>
        <v>0</v>
      </c>
      <c r="AE24" s="27">
        <f t="shared" si="9"/>
        <v>0</v>
      </c>
      <c r="AF24" s="27">
        <f t="shared" si="10"/>
        <v>0</v>
      </c>
      <c r="AG24" s="27">
        <f t="shared" si="11"/>
        <v>0</v>
      </c>
      <c r="AH24" s="27">
        <f t="shared" si="12"/>
        <v>0</v>
      </c>
      <c r="AI24" s="13"/>
      <c r="AJ24" s="27">
        <f t="shared" si="13"/>
        <v>0</v>
      </c>
      <c r="AK24" s="27">
        <f t="shared" si="14"/>
        <v>0</v>
      </c>
      <c r="AL24" s="27">
        <f t="shared" si="15"/>
        <v>0</v>
      </c>
      <c r="AN24" s="27">
        <v>12</v>
      </c>
      <c r="AO24" s="27">
        <f t="shared" si="26"/>
        <v>0</v>
      </c>
      <c r="AP24" s="27">
        <f t="shared" si="27"/>
        <v>0</v>
      </c>
      <c r="AQ24" s="30" t="s">
        <v>61</v>
      </c>
      <c r="AV24" s="27">
        <f t="shared" si="16"/>
        <v>0</v>
      </c>
      <c r="AW24" s="27">
        <f t="shared" si="17"/>
        <v>0</v>
      </c>
      <c r="AX24" s="27">
        <f t="shared" si="18"/>
        <v>0</v>
      </c>
      <c r="AY24" s="30" t="s">
        <v>88</v>
      </c>
      <c r="AZ24" s="30" t="s">
        <v>89</v>
      </c>
      <c r="BA24" s="13" t="s">
        <v>64</v>
      </c>
      <c r="BC24" s="27">
        <f t="shared" si="19"/>
        <v>0</v>
      </c>
      <c r="BD24" s="27">
        <f t="shared" si="20"/>
        <v>0</v>
      </c>
      <c r="BE24" s="27">
        <v>0</v>
      </c>
      <c r="BF24" s="27">
        <f t="shared" si="21"/>
        <v>0</v>
      </c>
      <c r="BH24" s="27">
        <f t="shared" si="22"/>
        <v>0</v>
      </c>
      <c r="BI24" s="27">
        <f t="shared" si="23"/>
        <v>0</v>
      </c>
      <c r="BJ24" s="27">
        <f t="shared" si="24"/>
        <v>0</v>
      </c>
      <c r="BK24" s="27"/>
      <c r="BL24" s="27">
        <v>731</v>
      </c>
      <c r="BW24" s="27">
        <f t="shared" si="25"/>
        <v>12</v>
      </c>
      <c r="BX24" s="4" t="s">
        <v>102</v>
      </c>
    </row>
    <row r="25" spans="1:76" ht="15" customHeight="1">
      <c r="A25" s="26" t="s">
        <v>103</v>
      </c>
      <c r="B25" s="3"/>
      <c r="C25" s="3" t="s">
        <v>104</v>
      </c>
      <c r="D25" s="58" t="s">
        <v>105</v>
      </c>
      <c r="E25" s="58"/>
      <c r="F25" s="3" t="s">
        <v>92</v>
      </c>
      <c r="G25" s="27">
        <v>1</v>
      </c>
      <c r="H25" s="27"/>
      <c r="I25" s="28">
        <v>12</v>
      </c>
      <c r="J25" s="27">
        <f t="shared" si="0"/>
        <v>0</v>
      </c>
      <c r="K25" s="27">
        <f t="shared" si="1"/>
        <v>0</v>
      </c>
      <c r="L25" s="27">
        <f t="shared" si="2"/>
        <v>0</v>
      </c>
      <c r="M25" s="27">
        <f t="shared" si="3"/>
        <v>0</v>
      </c>
      <c r="N25" s="27">
        <v>0</v>
      </c>
      <c r="O25" s="27">
        <f t="shared" si="4"/>
        <v>0</v>
      </c>
      <c r="P25" s="29"/>
      <c r="Z25" s="27">
        <f t="shared" si="5"/>
        <v>0</v>
      </c>
      <c r="AB25" s="27">
        <f t="shared" si="6"/>
        <v>0</v>
      </c>
      <c r="AC25" s="27">
        <f t="shared" si="7"/>
        <v>0</v>
      </c>
      <c r="AD25" s="27">
        <f t="shared" si="8"/>
        <v>0</v>
      </c>
      <c r="AE25" s="27">
        <f t="shared" si="9"/>
        <v>0</v>
      </c>
      <c r="AF25" s="27">
        <f t="shared" si="10"/>
        <v>0</v>
      </c>
      <c r="AG25" s="27">
        <f t="shared" si="11"/>
        <v>0</v>
      </c>
      <c r="AH25" s="27">
        <f t="shared" si="12"/>
        <v>0</v>
      </c>
      <c r="AI25" s="13"/>
      <c r="AJ25" s="27">
        <f t="shared" si="13"/>
        <v>0</v>
      </c>
      <c r="AK25" s="27">
        <f t="shared" si="14"/>
        <v>0</v>
      </c>
      <c r="AL25" s="27">
        <f t="shared" si="15"/>
        <v>0</v>
      </c>
      <c r="AN25" s="27">
        <v>12</v>
      </c>
      <c r="AO25" s="27">
        <f t="shared" si="26"/>
        <v>0</v>
      </c>
      <c r="AP25" s="27">
        <f t="shared" si="27"/>
        <v>0</v>
      </c>
      <c r="AQ25" s="30" t="s">
        <v>61</v>
      </c>
      <c r="AV25" s="27">
        <f t="shared" si="16"/>
        <v>0</v>
      </c>
      <c r="AW25" s="27">
        <f t="shared" si="17"/>
        <v>0</v>
      </c>
      <c r="AX25" s="27">
        <f t="shared" si="18"/>
        <v>0</v>
      </c>
      <c r="AY25" s="30" t="s">
        <v>88</v>
      </c>
      <c r="AZ25" s="30" t="s">
        <v>89</v>
      </c>
      <c r="BA25" s="13" t="s">
        <v>64</v>
      </c>
      <c r="BC25" s="27">
        <f t="shared" si="19"/>
        <v>0</v>
      </c>
      <c r="BD25" s="27">
        <f t="shared" si="20"/>
        <v>0</v>
      </c>
      <c r="BE25" s="27">
        <v>0</v>
      </c>
      <c r="BF25" s="27">
        <f t="shared" si="21"/>
        <v>0</v>
      </c>
      <c r="BH25" s="27">
        <f t="shared" si="22"/>
        <v>0</v>
      </c>
      <c r="BI25" s="27">
        <f t="shared" si="23"/>
        <v>0</v>
      </c>
      <c r="BJ25" s="27">
        <f t="shared" si="24"/>
        <v>0</v>
      </c>
      <c r="BK25" s="27"/>
      <c r="BL25" s="27">
        <v>731</v>
      </c>
      <c r="BW25" s="27">
        <f t="shared" si="25"/>
        <v>12</v>
      </c>
      <c r="BX25" s="4" t="s">
        <v>105</v>
      </c>
    </row>
    <row r="26" spans="1:76" ht="15" customHeight="1">
      <c r="A26" s="26" t="s">
        <v>106</v>
      </c>
      <c r="B26" s="3"/>
      <c r="C26" s="3" t="s">
        <v>107</v>
      </c>
      <c r="D26" s="58" t="s">
        <v>108</v>
      </c>
      <c r="E26" s="58"/>
      <c r="F26" s="3" t="s">
        <v>92</v>
      </c>
      <c r="G26" s="27">
        <v>1</v>
      </c>
      <c r="H26" s="27"/>
      <c r="I26" s="28">
        <v>12</v>
      </c>
      <c r="J26" s="27">
        <f t="shared" si="0"/>
        <v>0</v>
      </c>
      <c r="K26" s="27">
        <f t="shared" si="1"/>
        <v>0</v>
      </c>
      <c r="L26" s="27">
        <f t="shared" si="2"/>
        <v>0</v>
      </c>
      <c r="M26" s="27">
        <f t="shared" si="3"/>
        <v>0</v>
      </c>
      <c r="N26" s="27">
        <v>0</v>
      </c>
      <c r="O26" s="27">
        <f t="shared" si="4"/>
        <v>0</v>
      </c>
      <c r="P26" s="29"/>
      <c r="Z26" s="27">
        <f t="shared" si="5"/>
        <v>0</v>
      </c>
      <c r="AB26" s="27">
        <f t="shared" si="6"/>
        <v>0</v>
      </c>
      <c r="AC26" s="27">
        <f t="shared" si="7"/>
        <v>0</v>
      </c>
      <c r="AD26" s="27">
        <f t="shared" si="8"/>
        <v>0</v>
      </c>
      <c r="AE26" s="27">
        <f t="shared" si="9"/>
        <v>0</v>
      </c>
      <c r="AF26" s="27">
        <f t="shared" si="10"/>
        <v>0</v>
      </c>
      <c r="AG26" s="27">
        <f t="shared" si="11"/>
        <v>0</v>
      </c>
      <c r="AH26" s="27">
        <f t="shared" si="12"/>
        <v>0</v>
      </c>
      <c r="AI26" s="13"/>
      <c r="AJ26" s="27">
        <f t="shared" si="13"/>
        <v>0</v>
      </c>
      <c r="AK26" s="27">
        <f t="shared" si="14"/>
        <v>0</v>
      </c>
      <c r="AL26" s="27">
        <f t="shared" si="15"/>
        <v>0</v>
      </c>
      <c r="AN26" s="27">
        <v>12</v>
      </c>
      <c r="AO26" s="27">
        <f t="shared" si="26"/>
        <v>0</v>
      </c>
      <c r="AP26" s="27">
        <f t="shared" si="27"/>
        <v>0</v>
      </c>
      <c r="AQ26" s="30" t="s">
        <v>61</v>
      </c>
      <c r="AV26" s="27">
        <f t="shared" si="16"/>
        <v>0</v>
      </c>
      <c r="AW26" s="27">
        <f t="shared" si="17"/>
        <v>0</v>
      </c>
      <c r="AX26" s="27">
        <f t="shared" si="18"/>
        <v>0</v>
      </c>
      <c r="AY26" s="30" t="s">
        <v>88</v>
      </c>
      <c r="AZ26" s="30" t="s">
        <v>89</v>
      </c>
      <c r="BA26" s="13" t="s">
        <v>64</v>
      </c>
      <c r="BC26" s="27">
        <f t="shared" si="19"/>
        <v>0</v>
      </c>
      <c r="BD26" s="27">
        <f t="shared" si="20"/>
        <v>0</v>
      </c>
      <c r="BE26" s="27">
        <v>0</v>
      </c>
      <c r="BF26" s="27">
        <f t="shared" si="21"/>
        <v>0</v>
      </c>
      <c r="BH26" s="27">
        <f t="shared" si="22"/>
        <v>0</v>
      </c>
      <c r="BI26" s="27">
        <f t="shared" si="23"/>
        <v>0</v>
      </c>
      <c r="BJ26" s="27">
        <f t="shared" si="24"/>
        <v>0</v>
      </c>
      <c r="BK26" s="27"/>
      <c r="BL26" s="27">
        <v>731</v>
      </c>
      <c r="BW26" s="27">
        <f t="shared" si="25"/>
        <v>12</v>
      </c>
      <c r="BX26" s="4" t="s">
        <v>108</v>
      </c>
    </row>
    <row r="27" spans="1:76" ht="15" customHeight="1">
      <c r="A27" s="26" t="s">
        <v>109</v>
      </c>
      <c r="B27" s="3"/>
      <c r="C27" s="3" t="s">
        <v>110</v>
      </c>
      <c r="D27" s="58" t="s">
        <v>111</v>
      </c>
      <c r="E27" s="58"/>
      <c r="F27" s="3" t="s">
        <v>70</v>
      </c>
      <c r="G27" s="27">
        <v>46</v>
      </c>
      <c r="H27" s="27"/>
      <c r="I27" s="28">
        <v>12</v>
      </c>
      <c r="J27" s="27">
        <f t="shared" si="0"/>
        <v>0</v>
      </c>
      <c r="K27" s="27">
        <f t="shared" si="1"/>
        <v>0</v>
      </c>
      <c r="L27" s="27">
        <f t="shared" si="2"/>
        <v>0</v>
      </c>
      <c r="M27" s="27">
        <f t="shared" si="3"/>
        <v>0</v>
      </c>
      <c r="N27" s="27">
        <v>0</v>
      </c>
      <c r="O27" s="27">
        <f t="shared" si="4"/>
        <v>0</v>
      </c>
      <c r="P27" s="29"/>
      <c r="Z27" s="27">
        <f t="shared" si="5"/>
        <v>0</v>
      </c>
      <c r="AB27" s="27">
        <f t="shared" si="6"/>
        <v>0</v>
      </c>
      <c r="AC27" s="27">
        <f t="shared" si="7"/>
        <v>0</v>
      </c>
      <c r="AD27" s="27">
        <f t="shared" si="8"/>
        <v>0</v>
      </c>
      <c r="AE27" s="27">
        <f t="shared" si="9"/>
        <v>0</v>
      </c>
      <c r="AF27" s="27">
        <f t="shared" si="10"/>
        <v>0</v>
      </c>
      <c r="AG27" s="27">
        <f t="shared" si="11"/>
        <v>0</v>
      </c>
      <c r="AH27" s="27">
        <f t="shared" si="12"/>
        <v>0</v>
      </c>
      <c r="AI27" s="13"/>
      <c r="AJ27" s="27">
        <f t="shared" si="13"/>
        <v>0</v>
      </c>
      <c r="AK27" s="27">
        <f t="shared" si="14"/>
        <v>0</v>
      </c>
      <c r="AL27" s="27">
        <f t="shared" si="15"/>
        <v>0</v>
      </c>
      <c r="AN27" s="27">
        <v>12</v>
      </c>
      <c r="AO27" s="27">
        <f t="shared" si="26"/>
        <v>0</v>
      </c>
      <c r="AP27" s="27">
        <f t="shared" si="27"/>
        <v>0</v>
      </c>
      <c r="AQ27" s="30" t="s">
        <v>61</v>
      </c>
      <c r="AV27" s="27">
        <f t="shared" si="16"/>
        <v>0</v>
      </c>
      <c r="AW27" s="27">
        <f t="shared" si="17"/>
        <v>0</v>
      </c>
      <c r="AX27" s="27">
        <f t="shared" si="18"/>
        <v>0</v>
      </c>
      <c r="AY27" s="30" t="s">
        <v>88</v>
      </c>
      <c r="AZ27" s="30" t="s">
        <v>89</v>
      </c>
      <c r="BA27" s="13" t="s">
        <v>64</v>
      </c>
      <c r="BC27" s="27">
        <f t="shared" si="19"/>
        <v>0</v>
      </c>
      <c r="BD27" s="27">
        <f t="shared" si="20"/>
        <v>0</v>
      </c>
      <c r="BE27" s="27">
        <v>0</v>
      </c>
      <c r="BF27" s="27">
        <f t="shared" si="21"/>
        <v>0</v>
      </c>
      <c r="BH27" s="27">
        <f t="shared" si="22"/>
        <v>0</v>
      </c>
      <c r="BI27" s="27">
        <f t="shared" si="23"/>
        <v>0</v>
      </c>
      <c r="BJ27" s="27">
        <f t="shared" si="24"/>
        <v>0</v>
      </c>
      <c r="BK27" s="27"/>
      <c r="BL27" s="27">
        <v>731</v>
      </c>
      <c r="BW27" s="27">
        <f t="shared" si="25"/>
        <v>12</v>
      </c>
      <c r="BX27" s="4" t="s">
        <v>111</v>
      </c>
    </row>
    <row r="28" spans="1:76" ht="15" customHeight="1">
      <c r="A28" s="26" t="s">
        <v>112</v>
      </c>
      <c r="B28" s="3"/>
      <c r="C28" s="3" t="s">
        <v>113</v>
      </c>
      <c r="D28" s="58" t="s">
        <v>114</v>
      </c>
      <c r="E28" s="58"/>
      <c r="F28" s="3" t="s">
        <v>70</v>
      </c>
      <c r="G28" s="27">
        <v>46</v>
      </c>
      <c r="H28" s="27"/>
      <c r="I28" s="28">
        <v>12</v>
      </c>
      <c r="J28" s="27">
        <f t="shared" si="0"/>
        <v>0</v>
      </c>
      <c r="K28" s="27">
        <f t="shared" si="1"/>
        <v>0</v>
      </c>
      <c r="L28" s="27">
        <f t="shared" si="2"/>
        <v>0</v>
      </c>
      <c r="M28" s="27">
        <f t="shared" si="3"/>
        <v>0</v>
      </c>
      <c r="N28" s="27">
        <v>0</v>
      </c>
      <c r="O28" s="27">
        <f t="shared" si="4"/>
        <v>0</v>
      </c>
      <c r="P28" s="29"/>
      <c r="Z28" s="27">
        <f t="shared" si="5"/>
        <v>0</v>
      </c>
      <c r="AB28" s="27">
        <f t="shared" si="6"/>
        <v>0</v>
      </c>
      <c r="AC28" s="27">
        <f t="shared" si="7"/>
        <v>0</v>
      </c>
      <c r="AD28" s="27">
        <f t="shared" si="8"/>
        <v>0</v>
      </c>
      <c r="AE28" s="27">
        <f t="shared" si="9"/>
        <v>0</v>
      </c>
      <c r="AF28" s="27">
        <f t="shared" si="10"/>
        <v>0</v>
      </c>
      <c r="AG28" s="27">
        <f t="shared" si="11"/>
        <v>0</v>
      </c>
      <c r="AH28" s="27">
        <f t="shared" si="12"/>
        <v>0</v>
      </c>
      <c r="AI28" s="13"/>
      <c r="AJ28" s="27">
        <f t="shared" si="13"/>
        <v>0</v>
      </c>
      <c r="AK28" s="27">
        <f t="shared" si="14"/>
        <v>0</v>
      </c>
      <c r="AL28" s="27">
        <f t="shared" si="15"/>
        <v>0</v>
      </c>
      <c r="AN28" s="27">
        <v>12</v>
      </c>
      <c r="AO28" s="27">
        <f t="shared" si="26"/>
        <v>0</v>
      </c>
      <c r="AP28" s="27">
        <f t="shared" si="27"/>
        <v>0</v>
      </c>
      <c r="AQ28" s="30" t="s">
        <v>61</v>
      </c>
      <c r="AV28" s="27">
        <f t="shared" si="16"/>
        <v>0</v>
      </c>
      <c r="AW28" s="27">
        <f t="shared" si="17"/>
        <v>0</v>
      </c>
      <c r="AX28" s="27">
        <f t="shared" si="18"/>
        <v>0</v>
      </c>
      <c r="AY28" s="30" t="s">
        <v>88</v>
      </c>
      <c r="AZ28" s="30" t="s">
        <v>89</v>
      </c>
      <c r="BA28" s="13" t="s">
        <v>64</v>
      </c>
      <c r="BC28" s="27">
        <f t="shared" si="19"/>
        <v>0</v>
      </c>
      <c r="BD28" s="27">
        <f t="shared" si="20"/>
        <v>0</v>
      </c>
      <c r="BE28" s="27">
        <v>0</v>
      </c>
      <c r="BF28" s="27">
        <f t="shared" si="21"/>
        <v>0</v>
      </c>
      <c r="BH28" s="27">
        <f t="shared" si="22"/>
        <v>0</v>
      </c>
      <c r="BI28" s="27">
        <f t="shared" si="23"/>
        <v>0</v>
      </c>
      <c r="BJ28" s="27">
        <f t="shared" si="24"/>
        <v>0</v>
      </c>
      <c r="BK28" s="27"/>
      <c r="BL28" s="27">
        <v>731</v>
      </c>
      <c r="BW28" s="27">
        <f t="shared" si="25"/>
        <v>12</v>
      </c>
      <c r="BX28" s="4" t="s">
        <v>114</v>
      </c>
    </row>
    <row r="29" spans="1:76" ht="15" customHeight="1">
      <c r="A29" s="26" t="s">
        <v>115</v>
      </c>
      <c r="B29" s="3"/>
      <c r="C29" s="3" t="s">
        <v>116</v>
      </c>
      <c r="D29" s="58" t="s">
        <v>117</v>
      </c>
      <c r="E29" s="58"/>
      <c r="F29" s="3" t="s">
        <v>92</v>
      </c>
      <c r="G29" s="27">
        <v>1</v>
      </c>
      <c r="H29" s="27"/>
      <c r="I29" s="28">
        <v>12</v>
      </c>
      <c r="J29" s="27">
        <f t="shared" si="0"/>
        <v>0</v>
      </c>
      <c r="K29" s="27">
        <f t="shared" si="1"/>
        <v>0</v>
      </c>
      <c r="L29" s="27">
        <f t="shared" si="2"/>
        <v>0</v>
      </c>
      <c r="M29" s="27">
        <f t="shared" si="3"/>
        <v>0</v>
      </c>
      <c r="N29" s="27">
        <v>0</v>
      </c>
      <c r="O29" s="27">
        <f t="shared" si="4"/>
        <v>0</v>
      </c>
      <c r="P29" s="29"/>
      <c r="Z29" s="27">
        <f t="shared" si="5"/>
        <v>0</v>
      </c>
      <c r="AB29" s="27">
        <f t="shared" si="6"/>
        <v>0</v>
      </c>
      <c r="AC29" s="27">
        <f t="shared" si="7"/>
        <v>0</v>
      </c>
      <c r="AD29" s="27">
        <f t="shared" si="8"/>
        <v>0</v>
      </c>
      <c r="AE29" s="27">
        <f t="shared" si="9"/>
        <v>0</v>
      </c>
      <c r="AF29" s="27">
        <f t="shared" si="10"/>
        <v>0</v>
      </c>
      <c r="AG29" s="27">
        <f t="shared" si="11"/>
        <v>0</v>
      </c>
      <c r="AH29" s="27">
        <f t="shared" si="12"/>
        <v>0</v>
      </c>
      <c r="AI29" s="13"/>
      <c r="AJ29" s="27">
        <f t="shared" si="13"/>
        <v>0</v>
      </c>
      <c r="AK29" s="27">
        <f t="shared" si="14"/>
        <v>0</v>
      </c>
      <c r="AL29" s="27">
        <f t="shared" si="15"/>
        <v>0</v>
      </c>
      <c r="AN29" s="27">
        <v>12</v>
      </c>
      <c r="AO29" s="27">
        <f t="shared" si="26"/>
        <v>0</v>
      </c>
      <c r="AP29" s="27">
        <f t="shared" si="27"/>
        <v>0</v>
      </c>
      <c r="AQ29" s="30" t="s">
        <v>61</v>
      </c>
      <c r="AV29" s="27">
        <f t="shared" si="16"/>
        <v>0</v>
      </c>
      <c r="AW29" s="27">
        <f t="shared" si="17"/>
        <v>0</v>
      </c>
      <c r="AX29" s="27">
        <f t="shared" si="18"/>
        <v>0</v>
      </c>
      <c r="AY29" s="30" t="s">
        <v>88</v>
      </c>
      <c r="AZ29" s="30" t="s">
        <v>89</v>
      </c>
      <c r="BA29" s="13" t="s">
        <v>64</v>
      </c>
      <c r="BC29" s="27">
        <f t="shared" si="19"/>
        <v>0</v>
      </c>
      <c r="BD29" s="27">
        <f t="shared" si="20"/>
        <v>0</v>
      </c>
      <c r="BE29" s="27">
        <v>0</v>
      </c>
      <c r="BF29" s="27">
        <f t="shared" si="21"/>
        <v>0</v>
      </c>
      <c r="BH29" s="27">
        <f t="shared" si="22"/>
        <v>0</v>
      </c>
      <c r="BI29" s="27">
        <f t="shared" si="23"/>
        <v>0</v>
      </c>
      <c r="BJ29" s="27">
        <f t="shared" si="24"/>
        <v>0</v>
      </c>
      <c r="BK29" s="27"/>
      <c r="BL29" s="27">
        <v>731</v>
      </c>
      <c r="BW29" s="27">
        <f t="shared" si="25"/>
        <v>12</v>
      </c>
      <c r="BX29" s="4" t="s">
        <v>117</v>
      </c>
    </row>
    <row r="30" spans="1:76" ht="15" customHeight="1">
      <c r="A30" s="26" t="s">
        <v>118</v>
      </c>
      <c r="B30" s="3"/>
      <c r="C30" s="3" t="s">
        <v>119</v>
      </c>
      <c r="D30" s="58" t="s">
        <v>120</v>
      </c>
      <c r="E30" s="58"/>
      <c r="F30" s="3" t="s">
        <v>92</v>
      </c>
      <c r="G30" s="27">
        <v>1</v>
      </c>
      <c r="H30" s="27"/>
      <c r="I30" s="28">
        <v>12</v>
      </c>
      <c r="J30" s="27">
        <f t="shared" si="0"/>
        <v>0</v>
      </c>
      <c r="K30" s="27">
        <f t="shared" si="1"/>
        <v>0</v>
      </c>
      <c r="L30" s="27">
        <f t="shared" si="2"/>
        <v>0</v>
      </c>
      <c r="M30" s="27">
        <f t="shared" si="3"/>
        <v>0</v>
      </c>
      <c r="N30" s="27">
        <v>0</v>
      </c>
      <c r="O30" s="27">
        <f t="shared" si="4"/>
        <v>0</v>
      </c>
      <c r="P30" s="29"/>
      <c r="Z30" s="27">
        <f t="shared" si="5"/>
        <v>0</v>
      </c>
      <c r="AB30" s="27">
        <f t="shared" si="6"/>
        <v>0</v>
      </c>
      <c r="AC30" s="27">
        <f t="shared" si="7"/>
        <v>0</v>
      </c>
      <c r="AD30" s="27">
        <f t="shared" si="8"/>
        <v>0</v>
      </c>
      <c r="AE30" s="27">
        <f t="shared" si="9"/>
        <v>0</v>
      </c>
      <c r="AF30" s="27">
        <f t="shared" si="10"/>
        <v>0</v>
      </c>
      <c r="AG30" s="27">
        <f t="shared" si="11"/>
        <v>0</v>
      </c>
      <c r="AH30" s="27">
        <f t="shared" si="12"/>
        <v>0</v>
      </c>
      <c r="AI30" s="13"/>
      <c r="AJ30" s="27">
        <f t="shared" si="13"/>
        <v>0</v>
      </c>
      <c r="AK30" s="27">
        <f t="shared" si="14"/>
        <v>0</v>
      </c>
      <c r="AL30" s="27">
        <f t="shared" si="15"/>
        <v>0</v>
      </c>
      <c r="AN30" s="27">
        <v>12</v>
      </c>
      <c r="AO30" s="27">
        <f t="shared" si="26"/>
        <v>0</v>
      </c>
      <c r="AP30" s="27">
        <f t="shared" si="27"/>
        <v>0</v>
      </c>
      <c r="AQ30" s="30" t="s">
        <v>61</v>
      </c>
      <c r="AV30" s="27">
        <f t="shared" si="16"/>
        <v>0</v>
      </c>
      <c r="AW30" s="27">
        <f t="shared" si="17"/>
        <v>0</v>
      </c>
      <c r="AX30" s="27">
        <f t="shared" si="18"/>
        <v>0</v>
      </c>
      <c r="AY30" s="30" t="s">
        <v>88</v>
      </c>
      <c r="AZ30" s="30" t="s">
        <v>89</v>
      </c>
      <c r="BA30" s="13" t="s">
        <v>64</v>
      </c>
      <c r="BC30" s="27">
        <f t="shared" si="19"/>
        <v>0</v>
      </c>
      <c r="BD30" s="27">
        <f t="shared" si="20"/>
        <v>0</v>
      </c>
      <c r="BE30" s="27">
        <v>0</v>
      </c>
      <c r="BF30" s="27">
        <f t="shared" si="21"/>
        <v>0</v>
      </c>
      <c r="BH30" s="27">
        <f t="shared" si="22"/>
        <v>0</v>
      </c>
      <c r="BI30" s="27">
        <f t="shared" si="23"/>
        <v>0</v>
      </c>
      <c r="BJ30" s="27">
        <f t="shared" si="24"/>
        <v>0</v>
      </c>
      <c r="BK30" s="27"/>
      <c r="BL30" s="27">
        <v>731</v>
      </c>
      <c r="BW30" s="27">
        <f t="shared" si="25"/>
        <v>12</v>
      </c>
      <c r="BX30" s="4" t="s">
        <v>120</v>
      </c>
    </row>
    <row r="31" spans="1:76" ht="15" customHeight="1">
      <c r="A31" s="26" t="s">
        <v>121</v>
      </c>
      <c r="B31" s="3"/>
      <c r="C31" s="3" t="s">
        <v>122</v>
      </c>
      <c r="D31" s="58" t="s">
        <v>123</v>
      </c>
      <c r="E31" s="58"/>
      <c r="F31" s="3" t="s">
        <v>92</v>
      </c>
      <c r="G31" s="27">
        <v>2</v>
      </c>
      <c r="H31" s="27"/>
      <c r="I31" s="28">
        <v>12</v>
      </c>
      <c r="J31" s="27">
        <f t="shared" si="0"/>
        <v>0</v>
      </c>
      <c r="K31" s="27">
        <f t="shared" si="1"/>
        <v>0</v>
      </c>
      <c r="L31" s="27">
        <f t="shared" si="2"/>
        <v>0</v>
      </c>
      <c r="M31" s="27">
        <f t="shared" si="3"/>
        <v>0</v>
      </c>
      <c r="N31" s="27">
        <v>0</v>
      </c>
      <c r="O31" s="27">
        <f t="shared" si="4"/>
        <v>0</v>
      </c>
      <c r="P31" s="29"/>
      <c r="Z31" s="27">
        <f t="shared" si="5"/>
        <v>0</v>
      </c>
      <c r="AB31" s="27">
        <f t="shared" si="6"/>
        <v>0</v>
      </c>
      <c r="AC31" s="27">
        <f t="shared" si="7"/>
        <v>0</v>
      </c>
      <c r="AD31" s="27">
        <f t="shared" si="8"/>
        <v>0</v>
      </c>
      <c r="AE31" s="27">
        <f t="shared" si="9"/>
        <v>0</v>
      </c>
      <c r="AF31" s="27">
        <f t="shared" si="10"/>
        <v>0</v>
      </c>
      <c r="AG31" s="27">
        <f t="shared" si="11"/>
        <v>0</v>
      </c>
      <c r="AH31" s="27">
        <f t="shared" si="12"/>
        <v>0</v>
      </c>
      <c r="AI31" s="13"/>
      <c r="AJ31" s="27">
        <f t="shared" si="13"/>
        <v>0</v>
      </c>
      <c r="AK31" s="27">
        <f t="shared" si="14"/>
        <v>0</v>
      </c>
      <c r="AL31" s="27">
        <f t="shared" si="15"/>
        <v>0</v>
      </c>
      <c r="AN31" s="27">
        <v>12</v>
      </c>
      <c r="AO31" s="27">
        <f t="shared" si="26"/>
        <v>0</v>
      </c>
      <c r="AP31" s="27">
        <f t="shared" si="27"/>
        <v>0</v>
      </c>
      <c r="AQ31" s="30" t="s">
        <v>61</v>
      </c>
      <c r="AV31" s="27">
        <f t="shared" si="16"/>
        <v>0</v>
      </c>
      <c r="AW31" s="27">
        <f t="shared" si="17"/>
        <v>0</v>
      </c>
      <c r="AX31" s="27">
        <f t="shared" si="18"/>
        <v>0</v>
      </c>
      <c r="AY31" s="30" t="s">
        <v>88</v>
      </c>
      <c r="AZ31" s="30" t="s">
        <v>89</v>
      </c>
      <c r="BA31" s="13" t="s">
        <v>64</v>
      </c>
      <c r="BC31" s="27">
        <f t="shared" si="19"/>
        <v>0</v>
      </c>
      <c r="BD31" s="27">
        <f t="shared" si="20"/>
        <v>0</v>
      </c>
      <c r="BE31" s="27">
        <v>0</v>
      </c>
      <c r="BF31" s="27">
        <f t="shared" si="21"/>
        <v>0</v>
      </c>
      <c r="BH31" s="27">
        <f t="shared" si="22"/>
        <v>0</v>
      </c>
      <c r="BI31" s="27">
        <f t="shared" si="23"/>
        <v>0</v>
      </c>
      <c r="BJ31" s="27">
        <f t="shared" si="24"/>
        <v>0</v>
      </c>
      <c r="BK31" s="27"/>
      <c r="BL31" s="27">
        <v>731</v>
      </c>
      <c r="BW31" s="27">
        <f t="shared" si="25"/>
        <v>12</v>
      </c>
      <c r="BX31" s="4" t="s">
        <v>123</v>
      </c>
    </row>
    <row r="32" spans="1:76" ht="15" customHeight="1">
      <c r="A32" s="26" t="s">
        <v>124</v>
      </c>
      <c r="B32" s="3"/>
      <c r="C32" s="3" t="s">
        <v>125</v>
      </c>
      <c r="D32" s="58" t="s">
        <v>126</v>
      </c>
      <c r="E32" s="58"/>
      <c r="F32" s="3" t="s">
        <v>92</v>
      </c>
      <c r="G32" s="27">
        <v>1</v>
      </c>
      <c r="H32" s="27"/>
      <c r="I32" s="28">
        <v>12</v>
      </c>
      <c r="J32" s="27">
        <f t="shared" si="0"/>
        <v>0</v>
      </c>
      <c r="K32" s="27">
        <f t="shared" si="1"/>
        <v>0</v>
      </c>
      <c r="L32" s="27">
        <f t="shared" si="2"/>
        <v>0</v>
      </c>
      <c r="M32" s="27">
        <f t="shared" si="3"/>
        <v>0</v>
      </c>
      <c r="N32" s="27">
        <v>0</v>
      </c>
      <c r="O32" s="27">
        <f t="shared" si="4"/>
        <v>0</v>
      </c>
      <c r="P32" s="29"/>
      <c r="Z32" s="27">
        <f t="shared" si="5"/>
        <v>0</v>
      </c>
      <c r="AB32" s="27">
        <f t="shared" si="6"/>
        <v>0</v>
      </c>
      <c r="AC32" s="27">
        <f t="shared" si="7"/>
        <v>0</v>
      </c>
      <c r="AD32" s="27">
        <f t="shared" si="8"/>
        <v>0</v>
      </c>
      <c r="AE32" s="27">
        <f t="shared" si="9"/>
        <v>0</v>
      </c>
      <c r="AF32" s="27">
        <f t="shared" si="10"/>
        <v>0</v>
      </c>
      <c r="AG32" s="27">
        <f t="shared" si="11"/>
        <v>0</v>
      </c>
      <c r="AH32" s="27">
        <f t="shared" si="12"/>
        <v>0</v>
      </c>
      <c r="AI32" s="13"/>
      <c r="AJ32" s="27">
        <f t="shared" si="13"/>
        <v>0</v>
      </c>
      <c r="AK32" s="27">
        <f t="shared" si="14"/>
        <v>0</v>
      </c>
      <c r="AL32" s="27">
        <f t="shared" si="15"/>
        <v>0</v>
      </c>
      <c r="AN32" s="27">
        <v>12</v>
      </c>
      <c r="AO32" s="27">
        <f t="shared" si="26"/>
        <v>0</v>
      </c>
      <c r="AP32" s="27">
        <f t="shared" si="27"/>
        <v>0</v>
      </c>
      <c r="AQ32" s="30" t="s">
        <v>61</v>
      </c>
      <c r="AV32" s="27">
        <f t="shared" si="16"/>
        <v>0</v>
      </c>
      <c r="AW32" s="27">
        <f t="shared" si="17"/>
        <v>0</v>
      </c>
      <c r="AX32" s="27">
        <f t="shared" si="18"/>
        <v>0</v>
      </c>
      <c r="AY32" s="30" t="s">
        <v>88</v>
      </c>
      <c r="AZ32" s="30" t="s">
        <v>89</v>
      </c>
      <c r="BA32" s="13" t="s">
        <v>64</v>
      </c>
      <c r="BC32" s="27">
        <f t="shared" si="19"/>
        <v>0</v>
      </c>
      <c r="BD32" s="27">
        <f t="shared" si="20"/>
        <v>0</v>
      </c>
      <c r="BE32" s="27">
        <v>0</v>
      </c>
      <c r="BF32" s="27">
        <f t="shared" si="21"/>
        <v>0</v>
      </c>
      <c r="BH32" s="27">
        <f t="shared" si="22"/>
        <v>0</v>
      </c>
      <c r="BI32" s="27">
        <f t="shared" si="23"/>
        <v>0</v>
      </c>
      <c r="BJ32" s="27">
        <f t="shared" si="24"/>
        <v>0</v>
      </c>
      <c r="BK32" s="27"/>
      <c r="BL32" s="27">
        <v>731</v>
      </c>
      <c r="BW32" s="27">
        <f t="shared" si="25"/>
        <v>12</v>
      </c>
      <c r="BX32" s="4" t="s">
        <v>126</v>
      </c>
    </row>
    <row r="33" spans="1:76" ht="15" customHeight="1">
      <c r="A33" s="26" t="s">
        <v>127</v>
      </c>
      <c r="B33" s="3"/>
      <c r="C33" s="3" t="s">
        <v>128</v>
      </c>
      <c r="D33" s="58" t="s">
        <v>129</v>
      </c>
      <c r="E33" s="58"/>
      <c r="F33" s="3" t="s">
        <v>92</v>
      </c>
      <c r="G33" s="27">
        <v>1</v>
      </c>
      <c r="H33" s="27"/>
      <c r="I33" s="28">
        <v>12</v>
      </c>
      <c r="J33" s="27">
        <f t="shared" si="0"/>
        <v>0</v>
      </c>
      <c r="K33" s="27">
        <f t="shared" si="1"/>
        <v>0</v>
      </c>
      <c r="L33" s="27">
        <f t="shared" si="2"/>
        <v>0</v>
      </c>
      <c r="M33" s="27">
        <f t="shared" si="3"/>
        <v>0</v>
      </c>
      <c r="N33" s="27">
        <v>0</v>
      </c>
      <c r="O33" s="27">
        <f t="shared" si="4"/>
        <v>0</v>
      </c>
      <c r="P33" s="29"/>
      <c r="Z33" s="27">
        <f t="shared" si="5"/>
        <v>0</v>
      </c>
      <c r="AB33" s="27">
        <f t="shared" si="6"/>
        <v>0</v>
      </c>
      <c r="AC33" s="27">
        <f t="shared" si="7"/>
        <v>0</v>
      </c>
      <c r="AD33" s="27">
        <f t="shared" si="8"/>
        <v>0</v>
      </c>
      <c r="AE33" s="27">
        <f t="shared" si="9"/>
        <v>0</v>
      </c>
      <c r="AF33" s="27">
        <f t="shared" si="10"/>
        <v>0</v>
      </c>
      <c r="AG33" s="27">
        <f t="shared" si="11"/>
        <v>0</v>
      </c>
      <c r="AH33" s="27">
        <f t="shared" si="12"/>
        <v>0</v>
      </c>
      <c r="AI33" s="13"/>
      <c r="AJ33" s="27">
        <f t="shared" si="13"/>
        <v>0</v>
      </c>
      <c r="AK33" s="27">
        <f t="shared" si="14"/>
        <v>0</v>
      </c>
      <c r="AL33" s="27">
        <f t="shared" si="15"/>
        <v>0</v>
      </c>
      <c r="AN33" s="27">
        <v>12</v>
      </c>
      <c r="AO33" s="27">
        <f t="shared" si="26"/>
        <v>0</v>
      </c>
      <c r="AP33" s="27">
        <f t="shared" si="27"/>
        <v>0</v>
      </c>
      <c r="AQ33" s="30" t="s">
        <v>61</v>
      </c>
      <c r="AV33" s="27">
        <f t="shared" si="16"/>
        <v>0</v>
      </c>
      <c r="AW33" s="27">
        <f t="shared" si="17"/>
        <v>0</v>
      </c>
      <c r="AX33" s="27">
        <f t="shared" si="18"/>
        <v>0</v>
      </c>
      <c r="AY33" s="30" t="s">
        <v>88</v>
      </c>
      <c r="AZ33" s="30" t="s">
        <v>89</v>
      </c>
      <c r="BA33" s="13" t="s">
        <v>64</v>
      </c>
      <c r="BC33" s="27">
        <f t="shared" si="19"/>
        <v>0</v>
      </c>
      <c r="BD33" s="27">
        <f t="shared" si="20"/>
        <v>0</v>
      </c>
      <c r="BE33" s="27">
        <v>0</v>
      </c>
      <c r="BF33" s="27">
        <f t="shared" si="21"/>
        <v>0</v>
      </c>
      <c r="BH33" s="27">
        <f t="shared" si="22"/>
        <v>0</v>
      </c>
      <c r="BI33" s="27">
        <f t="shared" si="23"/>
        <v>0</v>
      </c>
      <c r="BJ33" s="27">
        <f t="shared" si="24"/>
        <v>0</v>
      </c>
      <c r="BK33" s="27"/>
      <c r="BL33" s="27">
        <v>731</v>
      </c>
      <c r="BW33" s="27">
        <f t="shared" si="25"/>
        <v>12</v>
      </c>
      <c r="BX33" s="4" t="s">
        <v>129</v>
      </c>
    </row>
    <row r="34" spans="1:76" ht="15" customHeight="1">
      <c r="A34" s="26" t="s">
        <v>130</v>
      </c>
      <c r="B34" s="3"/>
      <c r="C34" s="3" t="s">
        <v>131</v>
      </c>
      <c r="D34" s="58" t="s">
        <v>132</v>
      </c>
      <c r="E34" s="58"/>
      <c r="F34" s="3" t="s">
        <v>92</v>
      </c>
      <c r="G34" s="27">
        <v>1</v>
      </c>
      <c r="H34" s="27"/>
      <c r="I34" s="28">
        <v>12</v>
      </c>
      <c r="J34" s="27">
        <f t="shared" si="0"/>
        <v>0</v>
      </c>
      <c r="K34" s="27">
        <f t="shared" si="1"/>
        <v>0</v>
      </c>
      <c r="L34" s="27">
        <f t="shared" si="2"/>
        <v>0</v>
      </c>
      <c r="M34" s="27">
        <f t="shared" si="3"/>
        <v>0</v>
      </c>
      <c r="N34" s="27">
        <v>0</v>
      </c>
      <c r="O34" s="27">
        <f t="shared" si="4"/>
        <v>0</v>
      </c>
      <c r="P34" s="29"/>
      <c r="Z34" s="27">
        <f t="shared" si="5"/>
        <v>0</v>
      </c>
      <c r="AB34" s="27">
        <f t="shared" si="6"/>
        <v>0</v>
      </c>
      <c r="AC34" s="27">
        <f t="shared" si="7"/>
        <v>0</v>
      </c>
      <c r="AD34" s="27">
        <f t="shared" si="8"/>
        <v>0</v>
      </c>
      <c r="AE34" s="27">
        <f t="shared" si="9"/>
        <v>0</v>
      </c>
      <c r="AF34" s="27">
        <f t="shared" si="10"/>
        <v>0</v>
      </c>
      <c r="AG34" s="27">
        <f t="shared" si="11"/>
        <v>0</v>
      </c>
      <c r="AH34" s="27">
        <f t="shared" si="12"/>
        <v>0</v>
      </c>
      <c r="AI34" s="13"/>
      <c r="AJ34" s="27">
        <f t="shared" si="13"/>
        <v>0</v>
      </c>
      <c r="AK34" s="27">
        <f t="shared" si="14"/>
        <v>0</v>
      </c>
      <c r="AL34" s="27">
        <f t="shared" si="15"/>
        <v>0</v>
      </c>
      <c r="AN34" s="27">
        <v>12</v>
      </c>
      <c r="AO34" s="27">
        <f t="shared" si="26"/>
        <v>0</v>
      </c>
      <c r="AP34" s="27">
        <f t="shared" si="27"/>
        <v>0</v>
      </c>
      <c r="AQ34" s="30" t="s">
        <v>61</v>
      </c>
      <c r="AV34" s="27">
        <f t="shared" si="16"/>
        <v>0</v>
      </c>
      <c r="AW34" s="27">
        <f t="shared" si="17"/>
        <v>0</v>
      </c>
      <c r="AX34" s="27">
        <f t="shared" si="18"/>
        <v>0</v>
      </c>
      <c r="AY34" s="30" t="s">
        <v>88</v>
      </c>
      <c r="AZ34" s="30" t="s">
        <v>89</v>
      </c>
      <c r="BA34" s="13" t="s">
        <v>64</v>
      </c>
      <c r="BC34" s="27">
        <f t="shared" si="19"/>
        <v>0</v>
      </c>
      <c r="BD34" s="27">
        <f t="shared" si="20"/>
        <v>0</v>
      </c>
      <c r="BE34" s="27">
        <v>0</v>
      </c>
      <c r="BF34" s="27">
        <f t="shared" si="21"/>
        <v>0</v>
      </c>
      <c r="BH34" s="27">
        <f t="shared" si="22"/>
        <v>0</v>
      </c>
      <c r="BI34" s="27">
        <f t="shared" si="23"/>
        <v>0</v>
      </c>
      <c r="BJ34" s="27">
        <f t="shared" si="24"/>
        <v>0</v>
      </c>
      <c r="BK34" s="27"/>
      <c r="BL34" s="27">
        <v>731</v>
      </c>
      <c r="BW34" s="27">
        <f t="shared" si="25"/>
        <v>12</v>
      </c>
      <c r="BX34" s="4" t="s">
        <v>132</v>
      </c>
    </row>
    <row r="35" spans="1:76" ht="15" customHeight="1">
      <c r="A35" s="26" t="s">
        <v>133</v>
      </c>
      <c r="B35" s="3"/>
      <c r="C35" s="3" t="s">
        <v>134</v>
      </c>
      <c r="D35" s="58" t="s">
        <v>135</v>
      </c>
      <c r="E35" s="58"/>
      <c r="F35" s="3" t="s">
        <v>92</v>
      </c>
      <c r="G35" s="27">
        <v>1</v>
      </c>
      <c r="H35" s="27"/>
      <c r="I35" s="28">
        <v>12</v>
      </c>
      <c r="J35" s="27">
        <f t="shared" si="0"/>
        <v>0</v>
      </c>
      <c r="K35" s="27">
        <f t="shared" si="1"/>
        <v>0</v>
      </c>
      <c r="L35" s="27">
        <f t="shared" si="2"/>
        <v>0</v>
      </c>
      <c r="M35" s="27">
        <f t="shared" si="3"/>
        <v>0</v>
      </c>
      <c r="N35" s="27">
        <v>0</v>
      </c>
      <c r="O35" s="27">
        <f t="shared" si="4"/>
        <v>0</v>
      </c>
      <c r="P35" s="29"/>
      <c r="Z35" s="27">
        <f t="shared" si="5"/>
        <v>0</v>
      </c>
      <c r="AB35" s="27">
        <f t="shared" si="6"/>
        <v>0</v>
      </c>
      <c r="AC35" s="27">
        <f t="shared" si="7"/>
        <v>0</v>
      </c>
      <c r="AD35" s="27">
        <f t="shared" si="8"/>
        <v>0</v>
      </c>
      <c r="AE35" s="27">
        <f t="shared" si="9"/>
        <v>0</v>
      </c>
      <c r="AF35" s="27">
        <f t="shared" si="10"/>
        <v>0</v>
      </c>
      <c r="AG35" s="27">
        <f t="shared" si="11"/>
        <v>0</v>
      </c>
      <c r="AH35" s="27">
        <f t="shared" si="12"/>
        <v>0</v>
      </c>
      <c r="AI35" s="13"/>
      <c r="AJ35" s="27">
        <f t="shared" si="13"/>
        <v>0</v>
      </c>
      <c r="AK35" s="27">
        <f t="shared" si="14"/>
        <v>0</v>
      </c>
      <c r="AL35" s="27">
        <f t="shared" si="15"/>
        <v>0</v>
      </c>
      <c r="AN35" s="27">
        <v>12</v>
      </c>
      <c r="AO35" s="27">
        <f t="shared" si="26"/>
        <v>0</v>
      </c>
      <c r="AP35" s="27">
        <f t="shared" si="27"/>
        <v>0</v>
      </c>
      <c r="AQ35" s="30" t="s">
        <v>61</v>
      </c>
      <c r="AV35" s="27">
        <f t="shared" si="16"/>
        <v>0</v>
      </c>
      <c r="AW35" s="27">
        <f t="shared" si="17"/>
        <v>0</v>
      </c>
      <c r="AX35" s="27">
        <f t="shared" si="18"/>
        <v>0</v>
      </c>
      <c r="AY35" s="30" t="s">
        <v>88</v>
      </c>
      <c r="AZ35" s="30" t="s">
        <v>89</v>
      </c>
      <c r="BA35" s="13" t="s">
        <v>64</v>
      </c>
      <c r="BC35" s="27">
        <f t="shared" si="19"/>
        <v>0</v>
      </c>
      <c r="BD35" s="27">
        <f t="shared" si="20"/>
        <v>0</v>
      </c>
      <c r="BE35" s="27">
        <v>0</v>
      </c>
      <c r="BF35" s="27">
        <f t="shared" si="21"/>
        <v>0</v>
      </c>
      <c r="BH35" s="27">
        <f t="shared" si="22"/>
        <v>0</v>
      </c>
      <c r="BI35" s="27">
        <f t="shared" si="23"/>
        <v>0</v>
      </c>
      <c r="BJ35" s="27">
        <f t="shared" si="24"/>
        <v>0</v>
      </c>
      <c r="BK35" s="27"/>
      <c r="BL35" s="27">
        <v>731</v>
      </c>
      <c r="BW35" s="27">
        <f t="shared" si="25"/>
        <v>12</v>
      </c>
      <c r="BX35" s="4" t="s">
        <v>135</v>
      </c>
    </row>
    <row r="36" spans="1:76" ht="15" customHeight="1">
      <c r="A36" s="26" t="s">
        <v>136</v>
      </c>
      <c r="B36" s="3"/>
      <c r="C36" s="3" t="s">
        <v>137</v>
      </c>
      <c r="D36" s="58" t="s">
        <v>138</v>
      </c>
      <c r="E36" s="58"/>
      <c r="F36" s="3" t="s">
        <v>92</v>
      </c>
      <c r="G36" s="27">
        <v>1</v>
      </c>
      <c r="H36" s="27"/>
      <c r="I36" s="28">
        <v>12</v>
      </c>
      <c r="J36" s="27">
        <f t="shared" si="0"/>
        <v>0</v>
      </c>
      <c r="K36" s="27">
        <f t="shared" si="1"/>
        <v>0</v>
      </c>
      <c r="L36" s="27">
        <f t="shared" si="2"/>
        <v>0</v>
      </c>
      <c r="M36" s="27">
        <f t="shared" si="3"/>
        <v>0</v>
      </c>
      <c r="N36" s="27">
        <v>0</v>
      </c>
      <c r="O36" s="27">
        <f t="shared" si="4"/>
        <v>0</v>
      </c>
      <c r="P36" s="29"/>
      <c r="Z36" s="27">
        <f t="shared" si="5"/>
        <v>0</v>
      </c>
      <c r="AB36" s="27">
        <f t="shared" si="6"/>
        <v>0</v>
      </c>
      <c r="AC36" s="27">
        <f t="shared" si="7"/>
        <v>0</v>
      </c>
      <c r="AD36" s="27">
        <f t="shared" si="8"/>
        <v>0</v>
      </c>
      <c r="AE36" s="27">
        <f t="shared" si="9"/>
        <v>0</v>
      </c>
      <c r="AF36" s="27">
        <f t="shared" si="10"/>
        <v>0</v>
      </c>
      <c r="AG36" s="27">
        <f t="shared" si="11"/>
        <v>0</v>
      </c>
      <c r="AH36" s="27">
        <f t="shared" si="12"/>
        <v>0</v>
      </c>
      <c r="AI36" s="13"/>
      <c r="AJ36" s="27">
        <f t="shared" si="13"/>
        <v>0</v>
      </c>
      <c r="AK36" s="27">
        <f t="shared" si="14"/>
        <v>0</v>
      </c>
      <c r="AL36" s="27">
        <f t="shared" si="15"/>
        <v>0</v>
      </c>
      <c r="AN36" s="27">
        <v>12</v>
      </c>
      <c r="AO36" s="27">
        <f t="shared" si="26"/>
        <v>0</v>
      </c>
      <c r="AP36" s="27">
        <f t="shared" si="27"/>
        <v>0</v>
      </c>
      <c r="AQ36" s="30" t="s">
        <v>61</v>
      </c>
      <c r="AV36" s="27">
        <f t="shared" si="16"/>
        <v>0</v>
      </c>
      <c r="AW36" s="27">
        <f t="shared" si="17"/>
        <v>0</v>
      </c>
      <c r="AX36" s="27">
        <f t="shared" si="18"/>
        <v>0</v>
      </c>
      <c r="AY36" s="30" t="s">
        <v>88</v>
      </c>
      <c r="AZ36" s="30" t="s">
        <v>89</v>
      </c>
      <c r="BA36" s="13" t="s">
        <v>64</v>
      </c>
      <c r="BC36" s="27">
        <f t="shared" si="19"/>
        <v>0</v>
      </c>
      <c r="BD36" s="27">
        <f t="shared" si="20"/>
        <v>0</v>
      </c>
      <c r="BE36" s="27">
        <v>0</v>
      </c>
      <c r="BF36" s="27">
        <f t="shared" si="21"/>
        <v>0</v>
      </c>
      <c r="BH36" s="27">
        <f t="shared" si="22"/>
        <v>0</v>
      </c>
      <c r="BI36" s="27">
        <f t="shared" si="23"/>
        <v>0</v>
      </c>
      <c r="BJ36" s="27">
        <f t="shared" si="24"/>
        <v>0</v>
      </c>
      <c r="BK36" s="27"/>
      <c r="BL36" s="27">
        <v>731</v>
      </c>
      <c r="BW36" s="27">
        <f t="shared" si="25"/>
        <v>12</v>
      </c>
      <c r="BX36" s="4" t="s">
        <v>138</v>
      </c>
    </row>
    <row r="37" spans="1:76" ht="15" customHeight="1">
      <c r="A37" s="22"/>
      <c r="B37" s="23"/>
      <c r="C37" s="23" t="s">
        <v>139</v>
      </c>
      <c r="D37" s="59" t="s">
        <v>140</v>
      </c>
      <c r="E37" s="59"/>
      <c r="F37" s="24" t="s">
        <v>4</v>
      </c>
      <c r="G37" s="24" t="s">
        <v>4</v>
      </c>
      <c r="H37" s="24"/>
      <c r="I37" s="24" t="s">
        <v>4</v>
      </c>
      <c r="J37" s="6">
        <f>SUM(J38:J62)</f>
        <v>0</v>
      </c>
      <c r="K37" s="6">
        <f>SUM(K38:K62)</f>
        <v>0</v>
      </c>
      <c r="L37" s="6">
        <f>SUM(L38:L62)</f>
        <v>0</v>
      </c>
      <c r="M37" s="6">
        <f>SUM(M38:M62)</f>
        <v>0</v>
      </c>
      <c r="N37" s="13"/>
      <c r="O37" s="6">
        <f>SUM(O38:O62)</f>
        <v>1.0545800000000001</v>
      </c>
      <c r="P37" s="25"/>
      <c r="AI37" s="13"/>
      <c r="AS37" s="6">
        <f>SUM(AJ38:AJ62)</f>
        <v>0</v>
      </c>
      <c r="AT37" s="6">
        <f>SUM(AK38:AK62)</f>
        <v>0</v>
      </c>
      <c r="AU37" s="6">
        <f>SUM(AL38:AL62)</f>
        <v>0</v>
      </c>
    </row>
    <row r="38" spans="1:76" ht="15" customHeight="1">
      <c r="A38" s="26" t="s">
        <v>141</v>
      </c>
      <c r="B38" s="3"/>
      <c r="C38" s="3" t="s">
        <v>142</v>
      </c>
      <c r="D38" s="58" t="s">
        <v>143</v>
      </c>
      <c r="E38" s="58"/>
      <c r="F38" s="3" t="s">
        <v>87</v>
      </c>
      <c r="G38" s="27">
        <v>1</v>
      </c>
      <c r="H38" s="27"/>
      <c r="I38" s="28">
        <v>12</v>
      </c>
      <c r="J38" s="27">
        <f t="shared" ref="J38:J62" si="28">ROUND(G38*AO38,2)</f>
        <v>0</v>
      </c>
      <c r="K38" s="27">
        <f t="shared" ref="K38:K62" si="29">ROUND(G38*AP38,2)</f>
        <v>0</v>
      </c>
      <c r="L38" s="27">
        <f t="shared" ref="L38:L62" si="30">ROUND(G38*H38,2)</f>
        <v>0</v>
      </c>
      <c r="M38" s="27">
        <f t="shared" ref="M38:M62" si="31">L38*(1+BW38/100)</f>
        <v>0</v>
      </c>
      <c r="N38" s="27">
        <v>0.51195999999999997</v>
      </c>
      <c r="O38" s="27">
        <f t="shared" ref="O38:O62" si="32">G38*N38</f>
        <v>0.51195999999999997</v>
      </c>
      <c r="P38" s="29" t="s">
        <v>60</v>
      </c>
      <c r="Z38" s="27">
        <f t="shared" ref="Z38:Z62" si="33">ROUND(IF(AQ38="5",BJ38,0),2)</f>
        <v>0</v>
      </c>
      <c r="AB38" s="27">
        <f t="shared" ref="AB38:AB62" si="34">ROUND(IF(AQ38="1",BH38,0),2)</f>
        <v>0</v>
      </c>
      <c r="AC38" s="27">
        <f t="shared" ref="AC38:AC62" si="35">ROUND(IF(AQ38="1",BI38,0),2)</f>
        <v>0</v>
      </c>
      <c r="AD38" s="27">
        <f t="shared" ref="AD38:AD62" si="36">ROUND(IF(AQ38="7",BH38,0),2)</f>
        <v>0</v>
      </c>
      <c r="AE38" s="27">
        <f t="shared" ref="AE38:AE62" si="37">ROUND(IF(AQ38="7",BI38,0),2)</f>
        <v>0</v>
      </c>
      <c r="AF38" s="27">
        <f t="shared" ref="AF38:AF62" si="38">ROUND(IF(AQ38="2",BH38,0),2)</f>
        <v>0</v>
      </c>
      <c r="AG38" s="27">
        <f t="shared" ref="AG38:AG62" si="39">ROUND(IF(AQ38="2",BI38,0),2)</f>
        <v>0</v>
      </c>
      <c r="AH38" s="27">
        <f t="shared" ref="AH38:AH62" si="40">ROUND(IF(AQ38="0",BJ38,0),2)</f>
        <v>0</v>
      </c>
      <c r="AI38" s="13"/>
      <c r="AJ38" s="27">
        <f t="shared" ref="AJ38:AJ62" si="41">IF(AN38=0,L38,0)</f>
        <v>0</v>
      </c>
      <c r="AK38" s="27">
        <f t="shared" ref="AK38:AK62" si="42">IF(AN38=12,L38,0)</f>
        <v>0</v>
      </c>
      <c r="AL38" s="27">
        <f t="shared" ref="AL38:AL62" si="43">IF(AN38=21,L38,0)</f>
        <v>0</v>
      </c>
      <c r="AN38" s="27">
        <v>12</v>
      </c>
      <c r="AO38" s="27">
        <f>H38*0</f>
        <v>0</v>
      </c>
      <c r="AP38" s="27">
        <f>H38*(1-0)</f>
        <v>0</v>
      </c>
      <c r="AQ38" s="30" t="s">
        <v>61</v>
      </c>
      <c r="AV38" s="27">
        <f t="shared" ref="AV38:AV62" si="44">ROUND(AW38+AX38,2)</f>
        <v>0</v>
      </c>
      <c r="AW38" s="27">
        <f t="shared" ref="AW38:AW62" si="45">ROUND(G38*AO38,2)</f>
        <v>0</v>
      </c>
      <c r="AX38" s="27">
        <f t="shared" ref="AX38:AX62" si="46">ROUND(G38*AP38,2)</f>
        <v>0</v>
      </c>
      <c r="AY38" s="30" t="s">
        <v>144</v>
      </c>
      <c r="AZ38" s="30" t="s">
        <v>89</v>
      </c>
      <c r="BA38" s="13" t="s">
        <v>64</v>
      </c>
      <c r="BC38" s="27">
        <f t="shared" ref="BC38:BC62" si="47">AW38+AX38</f>
        <v>0</v>
      </c>
      <c r="BD38" s="27">
        <f t="shared" ref="BD38:BD62" si="48">H38/(100-BE38)*100</f>
        <v>0</v>
      </c>
      <c r="BE38" s="27">
        <v>0</v>
      </c>
      <c r="BF38" s="27">
        <f t="shared" ref="BF38:BF62" si="49">O38</f>
        <v>0.51195999999999997</v>
      </c>
      <c r="BH38" s="27">
        <f t="shared" ref="BH38:BH62" si="50">G38*AO38</f>
        <v>0</v>
      </c>
      <c r="BI38" s="27">
        <f t="shared" ref="BI38:BI62" si="51">G38*AP38</f>
        <v>0</v>
      </c>
      <c r="BJ38" s="27">
        <f t="shared" ref="BJ38:BJ62" si="52">G38*H38</f>
        <v>0</v>
      </c>
      <c r="BK38" s="27"/>
      <c r="BL38" s="27">
        <v>732</v>
      </c>
      <c r="BW38" s="27">
        <f t="shared" ref="BW38:BW62" si="53">I38</f>
        <v>12</v>
      </c>
      <c r="BX38" s="4" t="s">
        <v>143</v>
      </c>
    </row>
    <row r="39" spans="1:76" ht="15" customHeight="1">
      <c r="A39" s="26" t="s">
        <v>145</v>
      </c>
      <c r="B39" s="3"/>
      <c r="C39" s="3" t="s">
        <v>146</v>
      </c>
      <c r="D39" s="58" t="s">
        <v>147</v>
      </c>
      <c r="E39" s="58"/>
      <c r="F39" s="3" t="s">
        <v>87</v>
      </c>
      <c r="G39" s="27">
        <v>1</v>
      </c>
      <c r="H39" s="27"/>
      <c r="I39" s="28">
        <v>12</v>
      </c>
      <c r="J39" s="27">
        <f t="shared" si="28"/>
        <v>0</v>
      </c>
      <c r="K39" s="27">
        <f t="shared" si="29"/>
        <v>0</v>
      </c>
      <c r="L39" s="27">
        <f t="shared" si="30"/>
        <v>0</v>
      </c>
      <c r="M39" s="27">
        <f t="shared" si="31"/>
        <v>0</v>
      </c>
      <c r="N39" s="27">
        <v>0</v>
      </c>
      <c r="O39" s="27">
        <f t="shared" si="32"/>
        <v>0</v>
      </c>
      <c r="P39" s="29" t="s">
        <v>60</v>
      </c>
      <c r="Z39" s="27">
        <f t="shared" si="33"/>
        <v>0</v>
      </c>
      <c r="AB39" s="27">
        <f t="shared" si="34"/>
        <v>0</v>
      </c>
      <c r="AC39" s="27">
        <f t="shared" si="35"/>
        <v>0</v>
      </c>
      <c r="AD39" s="27">
        <f t="shared" si="36"/>
        <v>0</v>
      </c>
      <c r="AE39" s="27">
        <f t="shared" si="37"/>
        <v>0</v>
      </c>
      <c r="AF39" s="27">
        <f t="shared" si="38"/>
        <v>0</v>
      </c>
      <c r="AG39" s="27">
        <f t="shared" si="39"/>
        <v>0</v>
      </c>
      <c r="AH39" s="27">
        <f t="shared" si="40"/>
        <v>0</v>
      </c>
      <c r="AI39" s="13"/>
      <c r="AJ39" s="27">
        <f t="shared" si="41"/>
        <v>0</v>
      </c>
      <c r="AK39" s="27">
        <f t="shared" si="42"/>
        <v>0</v>
      </c>
      <c r="AL39" s="27">
        <f t="shared" si="43"/>
        <v>0</v>
      </c>
      <c r="AN39" s="27">
        <v>12</v>
      </c>
      <c r="AO39" s="27">
        <f>H39*0</f>
        <v>0</v>
      </c>
      <c r="AP39" s="27">
        <f>H39*(1-0)</f>
        <v>0</v>
      </c>
      <c r="AQ39" s="30" t="s">
        <v>61</v>
      </c>
      <c r="AV39" s="27">
        <f t="shared" si="44"/>
        <v>0</v>
      </c>
      <c r="AW39" s="27">
        <f t="shared" si="45"/>
        <v>0</v>
      </c>
      <c r="AX39" s="27">
        <f t="shared" si="46"/>
        <v>0</v>
      </c>
      <c r="AY39" s="30" t="s">
        <v>144</v>
      </c>
      <c r="AZ39" s="30" t="s">
        <v>89</v>
      </c>
      <c r="BA39" s="13" t="s">
        <v>64</v>
      </c>
      <c r="BC39" s="27">
        <f t="shared" si="47"/>
        <v>0</v>
      </c>
      <c r="BD39" s="27">
        <f t="shared" si="48"/>
        <v>0</v>
      </c>
      <c r="BE39" s="27">
        <v>0</v>
      </c>
      <c r="BF39" s="27">
        <f t="shared" si="49"/>
        <v>0</v>
      </c>
      <c r="BH39" s="27">
        <f t="shared" si="50"/>
        <v>0</v>
      </c>
      <c r="BI39" s="27">
        <f t="shared" si="51"/>
        <v>0</v>
      </c>
      <c r="BJ39" s="27">
        <f t="shared" si="52"/>
        <v>0</v>
      </c>
      <c r="BK39" s="27"/>
      <c r="BL39" s="27">
        <v>732</v>
      </c>
      <c r="BW39" s="27">
        <f t="shared" si="53"/>
        <v>12</v>
      </c>
      <c r="BX39" s="4" t="s">
        <v>147</v>
      </c>
    </row>
    <row r="40" spans="1:76" ht="15" customHeight="1">
      <c r="A40" s="26" t="s">
        <v>148</v>
      </c>
      <c r="B40" s="3"/>
      <c r="C40" s="3" t="s">
        <v>149</v>
      </c>
      <c r="D40" s="58" t="s">
        <v>150</v>
      </c>
      <c r="E40" s="58"/>
      <c r="F40" s="3" t="s">
        <v>96</v>
      </c>
      <c r="G40" s="27">
        <v>1</v>
      </c>
      <c r="H40" s="27"/>
      <c r="I40" s="28">
        <v>12</v>
      </c>
      <c r="J40" s="27">
        <f t="shared" si="28"/>
        <v>0</v>
      </c>
      <c r="K40" s="27">
        <f t="shared" si="29"/>
        <v>0</v>
      </c>
      <c r="L40" s="27">
        <f t="shared" si="30"/>
        <v>0</v>
      </c>
      <c r="M40" s="27">
        <f t="shared" si="31"/>
        <v>0</v>
      </c>
      <c r="N40" s="27">
        <v>5.1900000000000002E-3</v>
      </c>
      <c r="O40" s="27">
        <f t="shared" si="32"/>
        <v>5.1900000000000002E-3</v>
      </c>
      <c r="P40" s="29" t="s">
        <v>60</v>
      </c>
      <c r="Z40" s="27">
        <f t="shared" si="33"/>
        <v>0</v>
      </c>
      <c r="AB40" s="27">
        <f t="shared" si="34"/>
        <v>0</v>
      </c>
      <c r="AC40" s="27">
        <f t="shared" si="35"/>
        <v>0</v>
      </c>
      <c r="AD40" s="27">
        <f t="shared" si="36"/>
        <v>0</v>
      </c>
      <c r="AE40" s="27">
        <f t="shared" si="37"/>
        <v>0</v>
      </c>
      <c r="AF40" s="27">
        <f t="shared" si="38"/>
        <v>0</v>
      </c>
      <c r="AG40" s="27">
        <f t="shared" si="39"/>
        <v>0</v>
      </c>
      <c r="AH40" s="27">
        <f t="shared" si="40"/>
        <v>0</v>
      </c>
      <c r="AI40" s="13"/>
      <c r="AJ40" s="27">
        <f t="shared" si="41"/>
        <v>0</v>
      </c>
      <c r="AK40" s="27">
        <f t="shared" si="42"/>
        <v>0</v>
      </c>
      <c r="AL40" s="27">
        <f t="shared" si="43"/>
        <v>0</v>
      </c>
      <c r="AN40" s="27">
        <v>12</v>
      </c>
      <c r="AO40" s="27">
        <f>H40*0.124903385</f>
        <v>0</v>
      </c>
      <c r="AP40" s="27">
        <f>H40*(1-0.124903385)</f>
        <v>0</v>
      </c>
      <c r="AQ40" s="30" t="s">
        <v>61</v>
      </c>
      <c r="AV40" s="27">
        <f t="shared" si="44"/>
        <v>0</v>
      </c>
      <c r="AW40" s="27">
        <f t="shared" si="45"/>
        <v>0</v>
      </c>
      <c r="AX40" s="27">
        <f t="shared" si="46"/>
        <v>0</v>
      </c>
      <c r="AY40" s="30" t="s">
        <v>144</v>
      </c>
      <c r="AZ40" s="30" t="s">
        <v>89</v>
      </c>
      <c r="BA40" s="13" t="s">
        <v>64</v>
      </c>
      <c r="BC40" s="27">
        <f t="shared" si="47"/>
        <v>0</v>
      </c>
      <c r="BD40" s="27">
        <f t="shared" si="48"/>
        <v>0</v>
      </c>
      <c r="BE40" s="27">
        <v>0</v>
      </c>
      <c r="BF40" s="27">
        <f t="shared" si="49"/>
        <v>5.1900000000000002E-3</v>
      </c>
      <c r="BH40" s="27">
        <f t="shared" si="50"/>
        <v>0</v>
      </c>
      <c r="BI40" s="27">
        <f t="shared" si="51"/>
        <v>0</v>
      </c>
      <c r="BJ40" s="27">
        <f t="shared" si="52"/>
        <v>0</v>
      </c>
      <c r="BK40" s="27"/>
      <c r="BL40" s="27">
        <v>732</v>
      </c>
      <c r="BW40" s="27">
        <f t="shared" si="53"/>
        <v>12</v>
      </c>
      <c r="BX40" s="4" t="s">
        <v>150</v>
      </c>
    </row>
    <row r="41" spans="1:76" ht="15" customHeight="1">
      <c r="A41" s="26" t="s">
        <v>151</v>
      </c>
      <c r="B41" s="3"/>
      <c r="C41" s="3" t="s">
        <v>152</v>
      </c>
      <c r="D41" s="58" t="s">
        <v>153</v>
      </c>
      <c r="E41" s="58"/>
      <c r="F41" s="3" t="s">
        <v>87</v>
      </c>
      <c r="G41" s="27">
        <v>2</v>
      </c>
      <c r="H41" s="27"/>
      <c r="I41" s="28">
        <v>12</v>
      </c>
      <c r="J41" s="27">
        <f t="shared" si="28"/>
        <v>0</v>
      </c>
      <c r="K41" s="27">
        <f t="shared" si="29"/>
        <v>0</v>
      </c>
      <c r="L41" s="27">
        <f t="shared" si="30"/>
        <v>0</v>
      </c>
      <c r="M41" s="27">
        <f t="shared" si="31"/>
        <v>0</v>
      </c>
      <c r="N41" s="27">
        <v>4.5700000000000003E-3</v>
      </c>
      <c r="O41" s="27">
        <f t="shared" si="32"/>
        <v>9.1400000000000006E-3</v>
      </c>
      <c r="P41" s="29" t="s">
        <v>60</v>
      </c>
      <c r="Z41" s="27">
        <f t="shared" si="33"/>
        <v>0</v>
      </c>
      <c r="AB41" s="27">
        <f t="shared" si="34"/>
        <v>0</v>
      </c>
      <c r="AC41" s="27">
        <f t="shared" si="35"/>
        <v>0</v>
      </c>
      <c r="AD41" s="27">
        <f t="shared" si="36"/>
        <v>0</v>
      </c>
      <c r="AE41" s="27">
        <f t="shared" si="37"/>
        <v>0</v>
      </c>
      <c r="AF41" s="27">
        <f t="shared" si="38"/>
        <v>0</v>
      </c>
      <c r="AG41" s="27">
        <f t="shared" si="39"/>
        <v>0</v>
      </c>
      <c r="AH41" s="27">
        <f t="shared" si="40"/>
        <v>0</v>
      </c>
      <c r="AI41" s="13"/>
      <c r="AJ41" s="27">
        <f t="shared" si="41"/>
        <v>0</v>
      </c>
      <c r="AK41" s="27">
        <f t="shared" si="42"/>
        <v>0</v>
      </c>
      <c r="AL41" s="27">
        <f t="shared" si="43"/>
        <v>0</v>
      </c>
      <c r="AN41" s="27">
        <v>12</v>
      </c>
      <c r="AO41" s="27">
        <f>H41*0.062224606</f>
        <v>0</v>
      </c>
      <c r="AP41" s="27">
        <f>H41*(1-0.062224606)</f>
        <v>0</v>
      </c>
      <c r="AQ41" s="30" t="s">
        <v>61</v>
      </c>
      <c r="AV41" s="27">
        <f t="shared" si="44"/>
        <v>0</v>
      </c>
      <c r="AW41" s="27">
        <f t="shared" si="45"/>
        <v>0</v>
      </c>
      <c r="AX41" s="27">
        <f t="shared" si="46"/>
        <v>0</v>
      </c>
      <c r="AY41" s="30" t="s">
        <v>144</v>
      </c>
      <c r="AZ41" s="30" t="s">
        <v>89</v>
      </c>
      <c r="BA41" s="13" t="s">
        <v>64</v>
      </c>
      <c r="BC41" s="27">
        <f t="shared" si="47"/>
        <v>0</v>
      </c>
      <c r="BD41" s="27">
        <f t="shared" si="48"/>
        <v>0</v>
      </c>
      <c r="BE41" s="27">
        <v>0</v>
      </c>
      <c r="BF41" s="27">
        <f t="shared" si="49"/>
        <v>9.1400000000000006E-3</v>
      </c>
      <c r="BH41" s="27">
        <f t="shared" si="50"/>
        <v>0</v>
      </c>
      <c r="BI41" s="27">
        <f t="shared" si="51"/>
        <v>0</v>
      </c>
      <c r="BJ41" s="27">
        <f t="shared" si="52"/>
        <v>0</v>
      </c>
      <c r="BK41" s="27"/>
      <c r="BL41" s="27">
        <v>732</v>
      </c>
      <c r="BW41" s="27">
        <f t="shared" si="53"/>
        <v>12</v>
      </c>
      <c r="BX41" s="4" t="s">
        <v>153</v>
      </c>
    </row>
    <row r="42" spans="1:76" ht="15" customHeight="1">
      <c r="A42" s="26" t="s">
        <v>154</v>
      </c>
      <c r="B42" s="3"/>
      <c r="C42" s="3" t="s">
        <v>155</v>
      </c>
      <c r="D42" s="58" t="s">
        <v>156</v>
      </c>
      <c r="E42" s="58"/>
      <c r="F42" s="3" t="s">
        <v>87</v>
      </c>
      <c r="G42" s="27">
        <v>2</v>
      </c>
      <c r="H42" s="27"/>
      <c r="I42" s="28">
        <v>12</v>
      </c>
      <c r="J42" s="27">
        <f t="shared" si="28"/>
        <v>0</v>
      </c>
      <c r="K42" s="27">
        <f t="shared" si="29"/>
        <v>0</v>
      </c>
      <c r="L42" s="27">
        <f t="shared" si="30"/>
        <v>0</v>
      </c>
      <c r="M42" s="27">
        <f t="shared" si="31"/>
        <v>0</v>
      </c>
      <c r="N42" s="27">
        <v>2.1069999999999998E-2</v>
      </c>
      <c r="O42" s="27">
        <f t="shared" si="32"/>
        <v>4.2139999999999997E-2</v>
      </c>
      <c r="P42" s="29" t="s">
        <v>60</v>
      </c>
      <c r="Z42" s="27">
        <f t="shared" si="33"/>
        <v>0</v>
      </c>
      <c r="AB42" s="27">
        <f t="shared" si="34"/>
        <v>0</v>
      </c>
      <c r="AC42" s="27">
        <f t="shared" si="35"/>
        <v>0</v>
      </c>
      <c r="AD42" s="27">
        <f t="shared" si="36"/>
        <v>0</v>
      </c>
      <c r="AE42" s="27">
        <f t="shared" si="37"/>
        <v>0</v>
      </c>
      <c r="AF42" s="27">
        <f t="shared" si="38"/>
        <v>0</v>
      </c>
      <c r="AG42" s="27">
        <f t="shared" si="39"/>
        <v>0</v>
      </c>
      <c r="AH42" s="27">
        <f t="shared" si="40"/>
        <v>0</v>
      </c>
      <c r="AI42" s="13"/>
      <c r="AJ42" s="27">
        <f t="shared" si="41"/>
        <v>0</v>
      </c>
      <c r="AK42" s="27">
        <f t="shared" si="42"/>
        <v>0</v>
      </c>
      <c r="AL42" s="27">
        <f t="shared" si="43"/>
        <v>0</v>
      </c>
      <c r="AN42" s="27">
        <v>12</v>
      </c>
      <c r="AO42" s="27">
        <f>H42*0.06082397</f>
        <v>0</v>
      </c>
      <c r="AP42" s="27">
        <f>H42*(1-0.06082397)</f>
        <v>0</v>
      </c>
      <c r="AQ42" s="30" t="s">
        <v>61</v>
      </c>
      <c r="AV42" s="27">
        <f t="shared" si="44"/>
        <v>0</v>
      </c>
      <c r="AW42" s="27">
        <f t="shared" si="45"/>
        <v>0</v>
      </c>
      <c r="AX42" s="27">
        <f t="shared" si="46"/>
        <v>0</v>
      </c>
      <c r="AY42" s="30" t="s">
        <v>144</v>
      </c>
      <c r="AZ42" s="30" t="s">
        <v>89</v>
      </c>
      <c r="BA42" s="13" t="s">
        <v>64</v>
      </c>
      <c r="BC42" s="27">
        <f t="shared" si="47"/>
        <v>0</v>
      </c>
      <c r="BD42" s="27">
        <f t="shared" si="48"/>
        <v>0</v>
      </c>
      <c r="BE42" s="27">
        <v>0</v>
      </c>
      <c r="BF42" s="27">
        <f t="shared" si="49"/>
        <v>4.2139999999999997E-2</v>
      </c>
      <c r="BH42" s="27">
        <f t="shared" si="50"/>
        <v>0</v>
      </c>
      <c r="BI42" s="27">
        <f t="shared" si="51"/>
        <v>0</v>
      </c>
      <c r="BJ42" s="27">
        <f t="shared" si="52"/>
        <v>0</v>
      </c>
      <c r="BK42" s="27"/>
      <c r="BL42" s="27">
        <v>732</v>
      </c>
      <c r="BW42" s="27">
        <f t="shared" si="53"/>
        <v>12</v>
      </c>
      <c r="BX42" s="4" t="s">
        <v>156</v>
      </c>
    </row>
    <row r="43" spans="1:76" ht="15" customHeight="1">
      <c r="A43" s="26" t="s">
        <v>157</v>
      </c>
      <c r="B43" s="3"/>
      <c r="C43" s="3" t="s">
        <v>158</v>
      </c>
      <c r="D43" s="58" t="s">
        <v>159</v>
      </c>
      <c r="E43" s="58"/>
      <c r="F43" s="3" t="s">
        <v>92</v>
      </c>
      <c r="G43" s="27">
        <v>1</v>
      </c>
      <c r="H43" s="27"/>
      <c r="I43" s="28">
        <v>12</v>
      </c>
      <c r="J43" s="27">
        <f t="shared" si="28"/>
        <v>0</v>
      </c>
      <c r="K43" s="27">
        <f t="shared" si="29"/>
        <v>0</v>
      </c>
      <c r="L43" s="27">
        <f t="shared" si="30"/>
        <v>0</v>
      </c>
      <c r="M43" s="27">
        <f t="shared" si="31"/>
        <v>0</v>
      </c>
      <c r="N43" s="27">
        <v>0</v>
      </c>
      <c r="O43" s="27">
        <f t="shared" si="32"/>
        <v>0</v>
      </c>
      <c r="P43" s="29"/>
      <c r="Z43" s="27">
        <f t="shared" si="33"/>
        <v>0</v>
      </c>
      <c r="AB43" s="27">
        <f t="shared" si="34"/>
        <v>0</v>
      </c>
      <c r="AC43" s="27">
        <f t="shared" si="35"/>
        <v>0</v>
      </c>
      <c r="AD43" s="27">
        <f t="shared" si="36"/>
        <v>0</v>
      </c>
      <c r="AE43" s="27">
        <f t="shared" si="37"/>
        <v>0</v>
      </c>
      <c r="AF43" s="27">
        <f t="shared" si="38"/>
        <v>0</v>
      </c>
      <c r="AG43" s="27">
        <f t="shared" si="39"/>
        <v>0</v>
      </c>
      <c r="AH43" s="27">
        <f t="shared" si="40"/>
        <v>0</v>
      </c>
      <c r="AI43" s="13"/>
      <c r="AJ43" s="27">
        <f t="shared" si="41"/>
        <v>0</v>
      </c>
      <c r="AK43" s="27">
        <f t="shared" si="42"/>
        <v>0</v>
      </c>
      <c r="AL43" s="27">
        <f t="shared" si="43"/>
        <v>0</v>
      </c>
      <c r="AN43" s="27">
        <v>12</v>
      </c>
      <c r="AO43" s="27">
        <f>H43*1</f>
        <v>0</v>
      </c>
      <c r="AP43" s="27">
        <f>H43*(1-1)</f>
        <v>0</v>
      </c>
      <c r="AQ43" s="30" t="s">
        <v>61</v>
      </c>
      <c r="AV43" s="27">
        <f t="shared" si="44"/>
        <v>0</v>
      </c>
      <c r="AW43" s="27">
        <f t="shared" si="45"/>
        <v>0</v>
      </c>
      <c r="AX43" s="27">
        <f t="shared" si="46"/>
        <v>0</v>
      </c>
      <c r="AY43" s="30" t="s">
        <v>144</v>
      </c>
      <c r="AZ43" s="30" t="s">
        <v>89</v>
      </c>
      <c r="BA43" s="13" t="s">
        <v>64</v>
      </c>
      <c r="BC43" s="27">
        <f t="shared" si="47"/>
        <v>0</v>
      </c>
      <c r="BD43" s="27">
        <f t="shared" si="48"/>
        <v>0</v>
      </c>
      <c r="BE43" s="27">
        <v>0</v>
      </c>
      <c r="BF43" s="27">
        <f t="shared" si="49"/>
        <v>0</v>
      </c>
      <c r="BH43" s="27">
        <f t="shared" si="50"/>
        <v>0</v>
      </c>
      <c r="BI43" s="27">
        <f t="shared" si="51"/>
        <v>0</v>
      </c>
      <c r="BJ43" s="27">
        <f t="shared" si="52"/>
        <v>0</v>
      </c>
      <c r="BK43" s="27"/>
      <c r="BL43" s="27">
        <v>732</v>
      </c>
      <c r="BW43" s="27">
        <f t="shared" si="53"/>
        <v>12</v>
      </c>
      <c r="BX43" s="4" t="s">
        <v>159</v>
      </c>
    </row>
    <row r="44" spans="1:76" ht="15" customHeight="1">
      <c r="A44" s="26" t="s">
        <v>160</v>
      </c>
      <c r="B44" s="3"/>
      <c r="C44" s="3" t="s">
        <v>161</v>
      </c>
      <c r="D44" s="58" t="s">
        <v>162</v>
      </c>
      <c r="E44" s="58"/>
      <c r="F44" s="3" t="s">
        <v>92</v>
      </c>
      <c r="G44" s="27">
        <v>1</v>
      </c>
      <c r="H44" s="27"/>
      <c r="I44" s="28">
        <v>12</v>
      </c>
      <c r="J44" s="27">
        <f t="shared" si="28"/>
        <v>0</v>
      </c>
      <c r="K44" s="27">
        <f t="shared" si="29"/>
        <v>0</v>
      </c>
      <c r="L44" s="27">
        <f t="shared" si="30"/>
        <v>0</v>
      </c>
      <c r="M44" s="27">
        <f t="shared" si="31"/>
        <v>0</v>
      </c>
      <c r="N44" s="27">
        <v>0</v>
      </c>
      <c r="O44" s="27">
        <f t="shared" si="32"/>
        <v>0</v>
      </c>
      <c r="P44" s="29"/>
      <c r="Z44" s="27">
        <f t="shared" si="33"/>
        <v>0</v>
      </c>
      <c r="AB44" s="27">
        <f t="shared" si="34"/>
        <v>0</v>
      </c>
      <c r="AC44" s="27">
        <f t="shared" si="35"/>
        <v>0</v>
      </c>
      <c r="AD44" s="27">
        <f t="shared" si="36"/>
        <v>0</v>
      </c>
      <c r="AE44" s="27">
        <f t="shared" si="37"/>
        <v>0</v>
      </c>
      <c r="AF44" s="27">
        <f t="shared" si="38"/>
        <v>0</v>
      </c>
      <c r="AG44" s="27">
        <f t="shared" si="39"/>
        <v>0</v>
      </c>
      <c r="AH44" s="27">
        <f t="shared" si="40"/>
        <v>0</v>
      </c>
      <c r="AI44" s="13"/>
      <c r="AJ44" s="27">
        <f t="shared" si="41"/>
        <v>0</v>
      </c>
      <c r="AK44" s="27">
        <f t="shared" si="42"/>
        <v>0</v>
      </c>
      <c r="AL44" s="27">
        <f t="shared" si="43"/>
        <v>0</v>
      </c>
      <c r="AN44" s="27">
        <v>12</v>
      </c>
      <c r="AO44" s="27">
        <f>H44*1</f>
        <v>0</v>
      </c>
      <c r="AP44" s="27">
        <f>H44*(1-1)</f>
        <v>0</v>
      </c>
      <c r="AQ44" s="30" t="s">
        <v>61</v>
      </c>
      <c r="AV44" s="27">
        <f t="shared" si="44"/>
        <v>0</v>
      </c>
      <c r="AW44" s="27">
        <f t="shared" si="45"/>
        <v>0</v>
      </c>
      <c r="AX44" s="27">
        <f t="shared" si="46"/>
        <v>0</v>
      </c>
      <c r="AY44" s="30" t="s">
        <v>144</v>
      </c>
      <c r="AZ44" s="30" t="s">
        <v>89</v>
      </c>
      <c r="BA44" s="13" t="s">
        <v>64</v>
      </c>
      <c r="BC44" s="27">
        <f t="shared" si="47"/>
        <v>0</v>
      </c>
      <c r="BD44" s="27">
        <f t="shared" si="48"/>
        <v>0</v>
      </c>
      <c r="BE44" s="27">
        <v>0</v>
      </c>
      <c r="BF44" s="27">
        <f t="shared" si="49"/>
        <v>0</v>
      </c>
      <c r="BH44" s="27">
        <f t="shared" si="50"/>
        <v>0</v>
      </c>
      <c r="BI44" s="27">
        <f t="shared" si="51"/>
        <v>0</v>
      </c>
      <c r="BJ44" s="27">
        <f t="shared" si="52"/>
        <v>0</v>
      </c>
      <c r="BK44" s="27"/>
      <c r="BL44" s="27">
        <v>732</v>
      </c>
      <c r="BW44" s="27">
        <f t="shared" si="53"/>
        <v>12</v>
      </c>
      <c r="BX44" s="4" t="s">
        <v>162</v>
      </c>
    </row>
    <row r="45" spans="1:76" ht="15" customHeight="1">
      <c r="A45" s="26" t="s">
        <v>163</v>
      </c>
      <c r="B45" s="3"/>
      <c r="C45" s="3" t="s">
        <v>164</v>
      </c>
      <c r="D45" s="58" t="s">
        <v>165</v>
      </c>
      <c r="E45" s="58"/>
      <c r="F45" s="3" t="s">
        <v>92</v>
      </c>
      <c r="G45" s="27">
        <v>1</v>
      </c>
      <c r="H45" s="27"/>
      <c r="I45" s="28">
        <v>12</v>
      </c>
      <c r="J45" s="27">
        <f t="shared" si="28"/>
        <v>0</v>
      </c>
      <c r="K45" s="27">
        <f t="shared" si="29"/>
        <v>0</v>
      </c>
      <c r="L45" s="27">
        <f t="shared" si="30"/>
        <v>0</v>
      </c>
      <c r="M45" s="27">
        <f t="shared" si="31"/>
        <v>0</v>
      </c>
      <c r="N45" s="27">
        <v>0</v>
      </c>
      <c r="O45" s="27">
        <f t="shared" si="32"/>
        <v>0</v>
      </c>
      <c r="P45" s="29"/>
      <c r="Z45" s="27">
        <f t="shared" si="33"/>
        <v>0</v>
      </c>
      <c r="AB45" s="27">
        <f t="shared" si="34"/>
        <v>0</v>
      </c>
      <c r="AC45" s="27">
        <f t="shared" si="35"/>
        <v>0</v>
      </c>
      <c r="AD45" s="27">
        <f t="shared" si="36"/>
        <v>0</v>
      </c>
      <c r="AE45" s="27">
        <f t="shared" si="37"/>
        <v>0</v>
      </c>
      <c r="AF45" s="27">
        <f t="shared" si="38"/>
        <v>0</v>
      </c>
      <c r="AG45" s="27">
        <f t="shared" si="39"/>
        <v>0</v>
      </c>
      <c r="AH45" s="27">
        <f t="shared" si="40"/>
        <v>0</v>
      </c>
      <c r="AI45" s="13"/>
      <c r="AJ45" s="27">
        <f t="shared" si="41"/>
        <v>0</v>
      </c>
      <c r="AK45" s="27">
        <f t="shared" si="42"/>
        <v>0</v>
      </c>
      <c r="AL45" s="27">
        <f t="shared" si="43"/>
        <v>0</v>
      </c>
      <c r="AN45" s="27">
        <v>12</v>
      </c>
      <c r="AO45" s="27">
        <f>H45*1</f>
        <v>0</v>
      </c>
      <c r="AP45" s="27">
        <f>H45*(1-1)</f>
        <v>0</v>
      </c>
      <c r="AQ45" s="30" t="s">
        <v>61</v>
      </c>
      <c r="AV45" s="27">
        <f t="shared" si="44"/>
        <v>0</v>
      </c>
      <c r="AW45" s="27">
        <f t="shared" si="45"/>
        <v>0</v>
      </c>
      <c r="AX45" s="27">
        <f t="shared" si="46"/>
        <v>0</v>
      </c>
      <c r="AY45" s="30" t="s">
        <v>144</v>
      </c>
      <c r="AZ45" s="30" t="s">
        <v>89</v>
      </c>
      <c r="BA45" s="13" t="s">
        <v>64</v>
      </c>
      <c r="BC45" s="27">
        <f t="shared" si="47"/>
        <v>0</v>
      </c>
      <c r="BD45" s="27">
        <f t="shared" si="48"/>
        <v>0</v>
      </c>
      <c r="BE45" s="27">
        <v>0</v>
      </c>
      <c r="BF45" s="27">
        <f t="shared" si="49"/>
        <v>0</v>
      </c>
      <c r="BH45" s="27">
        <f t="shared" si="50"/>
        <v>0</v>
      </c>
      <c r="BI45" s="27">
        <f t="shared" si="51"/>
        <v>0</v>
      </c>
      <c r="BJ45" s="27">
        <f t="shared" si="52"/>
        <v>0</v>
      </c>
      <c r="BK45" s="27"/>
      <c r="BL45" s="27">
        <v>732</v>
      </c>
      <c r="BW45" s="27">
        <f t="shared" si="53"/>
        <v>12</v>
      </c>
      <c r="BX45" s="4" t="s">
        <v>165</v>
      </c>
    </row>
    <row r="46" spans="1:76" ht="15" customHeight="1">
      <c r="A46" s="26" t="s">
        <v>166</v>
      </c>
      <c r="B46" s="3"/>
      <c r="C46" s="3" t="s">
        <v>167</v>
      </c>
      <c r="D46" s="58" t="s">
        <v>168</v>
      </c>
      <c r="E46" s="58"/>
      <c r="F46" s="3" t="s">
        <v>96</v>
      </c>
      <c r="G46" s="27">
        <v>2</v>
      </c>
      <c r="H46" s="27"/>
      <c r="I46" s="28">
        <v>12</v>
      </c>
      <c r="J46" s="27">
        <f t="shared" si="28"/>
        <v>0</v>
      </c>
      <c r="K46" s="27">
        <f t="shared" si="29"/>
        <v>0</v>
      </c>
      <c r="L46" s="27">
        <f t="shared" si="30"/>
        <v>0</v>
      </c>
      <c r="M46" s="27">
        <f t="shared" si="31"/>
        <v>0</v>
      </c>
      <c r="N46" s="27">
        <v>3.4099999999999998E-3</v>
      </c>
      <c r="O46" s="27">
        <f t="shared" si="32"/>
        <v>6.8199999999999997E-3</v>
      </c>
      <c r="P46" s="29" t="s">
        <v>60</v>
      </c>
      <c r="Z46" s="27">
        <f t="shared" si="33"/>
        <v>0</v>
      </c>
      <c r="AB46" s="27">
        <f t="shared" si="34"/>
        <v>0</v>
      </c>
      <c r="AC46" s="27">
        <f t="shared" si="35"/>
        <v>0</v>
      </c>
      <c r="AD46" s="27">
        <f t="shared" si="36"/>
        <v>0</v>
      </c>
      <c r="AE46" s="27">
        <f t="shared" si="37"/>
        <v>0</v>
      </c>
      <c r="AF46" s="27">
        <f t="shared" si="38"/>
        <v>0</v>
      </c>
      <c r="AG46" s="27">
        <f t="shared" si="39"/>
        <v>0</v>
      </c>
      <c r="AH46" s="27">
        <f t="shared" si="40"/>
        <v>0</v>
      </c>
      <c r="AI46" s="13"/>
      <c r="AJ46" s="27">
        <f t="shared" si="41"/>
        <v>0</v>
      </c>
      <c r="AK46" s="27">
        <f t="shared" si="42"/>
        <v>0</v>
      </c>
      <c r="AL46" s="27">
        <f t="shared" si="43"/>
        <v>0</v>
      </c>
      <c r="AN46" s="27">
        <v>12</v>
      </c>
      <c r="AO46" s="27">
        <f>H46*0.89268992</f>
        <v>0</v>
      </c>
      <c r="AP46" s="27">
        <f>H46*(1-0.89268992)</f>
        <v>0</v>
      </c>
      <c r="AQ46" s="30" t="s">
        <v>61</v>
      </c>
      <c r="AV46" s="27">
        <f t="shared" si="44"/>
        <v>0</v>
      </c>
      <c r="AW46" s="27">
        <f t="shared" si="45"/>
        <v>0</v>
      </c>
      <c r="AX46" s="27">
        <f t="shared" si="46"/>
        <v>0</v>
      </c>
      <c r="AY46" s="30" t="s">
        <v>144</v>
      </c>
      <c r="AZ46" s="30" t="s">
        <v>89</v>
      </c>
      <c r="BA46" s="13" t="s">
        <v>64</v>
      </c>
      <c r="BC46" s="27">
        <f t="shared" si="47"/>
        <v>0</v>
      </c>
      <c r="BD46" s="27">
        <f t="shared" si="48"/>
        <v>0</v>
      </c>
      <c r="BE46" s="27">
        <v>0</v>
      </c>
      <c r="BF46" s="27">
        <f t="shared" si="49"/>
        <v>6.8199999999999997E-3</v>
      </c>
      <c r="BH46" s="27">
        <f t="shared" si="50"/>
        <v>0</v>
      </c>
      <c r="BI46" s="27">
        <f t="shared" si="51"/>
        <v>0</v>
      </c>
      <c r="BJ46" s="27">
        <f t="shared" si="52"/>
        <v>0</v>
      </c>
      <c r="BK46" s="27"/>
      <c r="BL46" s="27">
        <v>732</v>
      </c>
      <c r="BW46" s="27">
        <f t="shared" si="53"/>
        <v>12</v>
      </c>
      <c r="BX46" s="4" t="s">
        <v>168</v>
      </c>
    </row>
    <row r="47" spans="1:76" ht="15" customHeight="1">
      <c r="A47" s="26" t="s">
        <v>169</v>
      </c>
      <c r="B47" s="3"/>
      <c r="C47" s="3" t="s">
        <v>170</v>
      </c>
      <c r="D47" s="58" t="s">
        <v>171</v>
      </c>
      <c r="E47" s="58"/>
      <c r="F47" s="3" t="s">
        <v>96</v>
      </c>
      <c r="G47" s="27">
        <v>1</v>
      </c>
      <c r="H47" s="27"/>
      <c r="I47" s="28">
        <v>12</v>
      </c>
      <c r="J47" s="27">
        <f t="shared" si="28"/>
        <v>0</v>
      </c>
      <c r="K47" s="27">
        <f t="shared" si="29"/>
        <v>0</v>
      </c>
      <c r="L47" s="27">
        <f t="shared" si="30"/>
        <v>0</v>
      </c>
      <c r="M47" s="27">
        <f t="shared" si="31"/>
        <v>0</v>
      </c>
      <c r="N47" s="27">
        <v>2.0709999999999999E-2</v>
      </c>
      <c r="O47" s="27">
        <f t="shared" si="32"/>
        <v>2.0709999999999999E-2</v>
      </c>
      <c r="P47" s="29" t="s">
        <v>60</v>
      </c>
      <c r="Z47" s="27">
        <f t="shared" si="33"/>
        <v>0</v>
      </c>
      <c r="AB47" s="27">
        <f t="shared" si="34"/>
        <v>0</v>
      </c>
      <c r="AC47" s="27">
        <f t="shared" si="35"/>
        <v>0</v>
      </c>
      <c r="AD47" s="27">
        <f t="shared" si="36"/>
        <v>0</v>
      </c>
      <c r="AE47" s="27">
        <f t="shared" si="37"/>
        <v>0</v>
      </c>
      <c r="AF47" s="27">
        <f t="shared" si="38"/>
        <v>0</v>
      </c>
      <c r="AG47" s="27">
        <f t="shared" si="39"/>
        <v>0</v>
      </c>
      <c r="AH47" s="27">
        <f t="shared" si="40"/>
        <v>0</v>
      </c>
      <c r="AI47" s="13"/>
      <c r="AJ47" s="27">
        <f t="shared" si="41"/>
        <v>0</v>
      </c>
      <c r="AK47" s="27">
        <f t="shared" si="42"/>
        <v>0</v>
      </c>
      <c r="AL47" s="27">
        <f t="shared" si="43"/>
        <v>0</v>
      </c>
      <c r="AN47" s="27">
        <v>12</v>
      </c>
      <c r="AO47" s="27">
        <f>H47*0.849531034</f>
        <v>0</v>
      </c>
      <c r="AP47" s="27">
        <f>H47*(1-0.849531034)</f>
        <v>0</v>
      </c>
      <c r="AQ47" s="30" t="s">
        <v>61</v>
      </c>
      <c r="AV47" s="27">
        <f t="shared" si="44"/>
        <v>0</v>
      </c>
      <c r="AW47" s="27">
        <f t="shared" si="45"/>
        <v>0</v>
      </c>
      <c r="AX47" s="27">
        <f t="shared" si="46"/>
        <v>0</v>
      </c>
      <c r="AY47" s="30" t="s">
        <v>144</v>
      </c>
      <c r="AZ47" s="30" t="s">
        <v>89</v>
      </c>
      <c r="BA47" s="13" t="s">
        <v>64</v>
      </c>
      <c r="BC47" s="27">
        <f t="shared" si="47"/>
        <v>0</v>
      </c>
      <c r="BD47" s="27">
        <f t="shared" si="48"/>
        <v>0</v>
      </c>
      <c r="BE47" s="27">
        <v>0</v>
      </c>
      <c r="BF47" s="27">
        <f t="shared" si="49"/>
        <v>2.0709999999999999E-2</v>
      </c>
      <c r="BH47" s="27">
        <f t="shared" si="50"/>
        <v>0</v>
      </c>
      <c r="BI47" s="27">
        <f t="shared" si="51"/>
        <v>0</v>
      </c>
      <c r="BJ47" s="27">
        <f t="shared" si="52"/>
        <v>0</v>
      </c>
      <c r="BK47" s="27"/>
      <c r="BL47" s="27">
        <v>732</v>
      </c>
      <c r="BW47" s="27">
        <f t="shared" si="53"/>
        <v>12</v>
      </c>
      <c r="BX47" s="4" t="s">
        <v>171</v>
      </c>
    </row>
    <row r="48" spans="1:76" ht="15" customHeight="1">
      <c r="A48" s="26" t="s">
        <v>172</v>
      </c>
      <c r="B48" s="3"/>
      <c r="C48" s="3" t="s">
        <v>173</v>
      </c>
      <c r="D48" s="58" t="s">
        <v>174</v>
      </c>
      <c r="E48" s="58"/>
      <c r="F48" s="3" t="s">
        <v>87</v>
      </c>
      <c r="G48" s="27">
        <v>2</v>
      </c>
      <c r="H48" s="27"/>
      <c r="I48" s="28">
        <v>12</v>
      </c>
      <c r="J48" s="27">
        <f t="shared" si="28"/>
        <v>0</v>
      </c>
      <c r="K48" s="27">
        <f t="shared" si="29"/>
        <v>0</v>
      </c>
      <c r="L48" s="27">
        <f t="shared" si="30"/>
        <v>0</v>
      </c>
      <c r="M48" s="27">
        <f t="shared" si="31"/>
        <v>0</v>
      </c>
      <c r="N48" s="27">
        <v>0</v>
      </c>
      <c r="O48" s="27">
        <f t="shared" si="32"/>
        <v>0</v>
      </c>
      <c r="P48" s="29" t="s">
        <v>60</v>
      </c>
      <c r="Z48" s="27">
        <f t="shared" si="33"/>
        <v>0</v>
      </c>
      <c r="AB48" s="27">
        <f t="shared" si="34"/>
        <v>0</v>
      </c>
      <c r="AC48" s="27">
        <f t="shared" si="35"/>
        <v>0</v>
      </c>
      <c r="AD48" s="27">
        <f t="shared" si="36"/>
        <v>0</v>
      </c>
      <c r="AE48" s="27">
        <f t="shared" si="37"/>
        <v>0</v>
      </c>
      <c r="AF48" s="27">
        <f t="shared" si="38"/>
        <v>0</v>
      </c>
      <c r="AG48" s="27">
        <f t="shared" si="39"/>
        <v>0</v>
      </c>
      <c r="AH48" s="27">
        <f t="shared" si="40"/>
        <v>0</v>
      </c>
      <c r="AI48" s="13"/>
      <c r="AJ48" s="27">
        <f t="shared" si="41"/>
        <v>0</v>
      </c>
      <c r="AK48" s="27">
        <f t="shared" si="42"/>
        <v>0</v>
      </c>
      <c r="AL48" s="27">
        <f t="shared" si="43"/>
        <v>0</v>
      </c>
      <c r="AN48" s="27">
        <v>12</v>
      </c>
      <c r="AO48" s="27">
        <f>H48*0.384984227</f>
        <v>0</v>
      </c>
      <c r="AP48" s="27">
        <f>H48*(1-0.384984227)</f>
        <v>0</v>
      </c>
      <c r="AQ48" s="30" t="s">
        <v>61</v>
      </c>
      <c r="AV48" s="27">
        <f t="shared" si="44"/>
        <v>0</v>
      </c>
      <c r="AW48" s="27">
        <f t="shared" si="45"/>
        <v>0</v>
      </c>
      <c r="AX48" s="27">
        <f t="shared" si="46"/>
        <v>0</v>
      </c>
      <c r="AY48" s="30" t="s">
        <v>144</v>
      </c>
      <c r="AZ48" s="30" t="s">
        <v>89</v>
      </c>
      <c r="BA48" s="13" t="s">
        <v>64</v>
      </c>
      <c r="BC48" s="27">
        <f t="shared" si="47"/>
        <v>0</v>
      </c>
      <c r="BD48" s="27">
        <f t="shared" si="48"/>
        <v>0</v>
      </c>
      <c r="BE48" s="27">
        <v>0</v>
      </c>
      <c r="BF48" s="27">
        <f t="shared" si="49"/>
        <v>0</v>
      </c>
      <c r="BH48" s="27">
        <f t="shared" si="50"/>
        <v>0</v>
      </c>
      <c r="BI48" s="27">
        <f t="shared" si="51"/>
        <v>0</v>
      </c>
      <c r="BJ48" s="27">
        <f t="shared" si="52"/>
        <v>0</v>
      </c>
      <c r="BK48" s="27"/>
      <c r="BL48" s="27">
        <v>732</v>
      </c>
      <c r="BW48" s="27">
        <f t="shared" si="53"/>
        <v>12</v>
      </c>
      <c r="BX48" s="4" t="s">
        <v>174</v>
      </c>
    </row>
    <row r="49" spans="1:76" ht="15" customHeight="1">
      <c r="A49" s="26" t="s">
        <v>175</v>
      </c>
      <c r="B49" s="3"/>
      <c r="C49" s="3" t="s">
        <v>176</v>
      </c>
      <c r="D49" s="58" t="s">
        <v>177</v>
      </c>
      <c r="E49" s="58"/>
      <c r="F49" s="3" t="s">
        <v>87</v>
      </c>
      <c r="G49" s="27">
        <v>1</v>
      </c>
      <c r="H49" s="27"/>
      <c r="I49" s="28">
        <v>12</v>
      </c>
      <c r="J49" s="27">
        <f t="shared" si="28"/>
        <v>0</v>
      </c>
      <c r="K49" s="27">
        <f t="shared" si="29"/>
        <v>0</v>
      </c>
      <c r="L49" s="27">
        <f t="shared" si="30"/>
        <v>0</v>
      </c>
      <c r="M49" s="27">
        <f t="shared" si="31"/>
        <v>0</v>
      </c>
      <c r="N49" s="27">
        <v>0</v>
      </c>
      <c r="O49" s="27">
        <f t="shared" si="32"/>
        <v>0</v>
      </c>
      <c r="P49" s="29" t="s">
        <v>60</v>
      </c>
      <c r="Z49" s="27">
        <f t="shared" si="33"/>
        <v>0</v>
      </c>
      <c r="AB49" s="27">
        <f t="shared" si="34"/>
        <v>0</v>
      </c>
      <c r="AC49" s="27">
        <f t="shared" si="35"/>
        <v>0</v>
      </c>
      <c r="AD49" s="27">
        <f t="shared" si="36"/>
        <v>0</v>
      </c>
      <c r="AE49" s="27">
        <f t="shared" si="37"/>
        <v>0</v>
      </c>
      <c r="AF49" s="27">
        <f t="shared" si="38"/>
        <v>0</v>
      </c>
      <c r="AG49" s="27">
        <f t="shared" si="39"/>
        <v>0</v>
      </c>
      <c r="AH49" s="27">
        <f t="shared" si="40"/>
        <v>0</v>
      </c>
      <c r="AI49" s="13"/>
      <c r="AJ49" s="27">
        <f t="shared" si="41"/>
        <v>0</v>
      </c>
      <c r="AK49" s="27">
        <f t="shared" si="42"/>
        <v>0</v>
      </c>
      <c r="AL49" s="27">
        <f t="shared" si="43"/>
        <v>0</v>
      </c>
      <c r="AN49" s="27">
        <v>12</v>
      </c>
      <c r="AO49" s="27">
        <f>H49*0.486263158</f>
        <v>0</v>
      </c>
      <c r="AP49" s="27">
        <f>H49*(1-0.486263158)</f>
        <v>0</v>
      </c>
      <c r="AQ49" s="30" t="s">
        <v>61</v>
      </c>
      <c r="AV49" s="27">
        <f t="shared" si="44"/>
        <v>0</v>
      </c>
      <c r="AW49" s="27">
        <f t="shared" si="45"/>
        <v>0</v>
      </c>
      <c r="AX49" s="27">
        <f t="shared" si="46"/>
        <v>0</v>
      </c>
      <c r="AY49" s="30" t="s">
        <v>144</v>
      </c>
      <c r="AZ49" s="30" t="s">
        <v>89</v>
      </c>
      <c r="BA49" s="13" t="s">
        <v>64</v>
      </c>
      <c r="BC49" s="27">
        <f t="shared" si="47"/>
        <v>0</v>
      </c>
      <c r="BD49" s="27">
        <f t="shared" si="48"/>
        <v>0</v>
      </c>
      <c r="BE49" s="27">
        <v>0</v>
      </c>
      <c r="BF49" s="27">
        <f t="shared" si="49"/>
        <v>0</v>
      </c>
      <c r="BH49" s="27">
        <f t="shared" si="50"/>
        <v>0</v>
      </c>
      <c r="BI49" s="27">
        <f t="shared" si="51"/>
        <v>0</v>
      </c>
      <c r="BJ49" s="27">
        <f t="shared" si="52"/>
        <v>0</v>
      </c>
      <c r="BK49" s="27"/>
      <c r="BL49" s="27">
        <v>732</v>
      </c>
      <c r="BW49" s="27">
        <f t="shared" si="53"/>
        <v>12</v>
      </c>
      <c r="BX49" s="4" t="s">
        <v>177</v>
      </c>
    </row>
    <row r="50" spans="1:76" ht="15" customHeight="1">
      <c r="A50" s="26" t="s">
        <v>178</v>
      </c>
      <c r="B50" s="3"/>
      <c r="C50" s="3" t="s">
        <v>179</v>
      </c>
      <c r="D50" s="58" t="s">
        <v>180</v>
      </c>
      <c r="E50" s="58"/>
      <c r="F50" s="3" t="s">
        <v>96</v>
      </c>
      <c r="G50" s="27">
        <v>1</v>
      </c>
      <c r="H50" s="27"/>
      <c r="I50" s="28">
        <v>12</v>
      </c>
      <c r="J50" s="27">
        <f t="shared" si="28"/>
        <v>0</v>
      </c>
      <c r="K50" s="27">
        <f t="shared" si="29"/>
        <v>0</v>
      </c>
      <c r="L50" s="27">
        <f t="shared" si="30"/>
        <v>0</v>
      </c>
      <c r="M50" s="27">
        <f t="shared" si="31"/>
        <v>0</v>
      </c>
      <c r="N50" s="27">
        <v>0</v>
      </c>
      <c r="O50" s="27">
        <f t="shared" si="32"/>
        <v>0</v>
      </c>
      <c r="P50" s="29" t="s">
        <v>60</v>
      </c>
      <c r="Z50" s="27">
        <f t="shared" si="33"/>
        <v>0</v>
      </c>
      <c r="AB50" s="27">
        <f t="shared" si="34"/>
        <v>0</v>
      </c>
      <c r="AC50" s="27">
        <f t="shared" si="35"/>
        <v>0</v>
      </c>
      <c r="AD50" s="27">
        <f t="shared" si="36"/>
        <v>0</v>
      </c>
      <c r="AE50" s="27">
        <f t="shared" si="37"/>
        <v>0</v>
      </c>
      <c r="AF50" s="27">
        <f t="shared" si="38"/>
        <v>0</v>
      </c>
      <c r="AG50" s="27">
        <f t="shared" si="39"/>
        <v>0</v>
      </c>
      <c r="AH50" s="27">
        <f t="shared" si="40"/>
        <v>0</v>
      </c>
      <c r="AI50" s="13"/>
      <c r="AJ50" s="27">
        <f t="shared" si="41"/>
        <v>0</v>
      </c>
      <c r="AK50" s="27">
        <f t="shared" si="42"/>
        <v>0</v>
      </c>
      <c r="AL50" s="27">
        <f t="shared" si="43"/>
        <v>0</v>
      </c>
      <c r="AN50" s="27">
        <v>12</v>
      </c>
      <c r="AO50" s="27">
        <f>H50*0</f>
        <v>0</v>
      </c>
      <c r="AP50" s="27">
        <f>H50*(1-0)</f>
        <v>0</v>
      </c>
      <c r="AQ50" s="30" t="s">
        <v>61</v>
      </c>
      <c r="AV50" s="27">
        <f t="shared" si="44"/>
        <v>0</v>
      </c>
      <c r="AW50" s="27">
        <f t="shared" si="45"/>
        <v>0</v>
      </c>
      <c r="AX50" s="27">
        <f t="shared" si="46"/>
        <v>0</v>
      </c>
      <c r="AY50" s="30" t="s">
        <v>144</v>
      </c>
      <c r="AZ50" s="30" t="s">
        <v>89</v>
      </c>
      <c r="BA50" s="13" t="s">
        <v>64</v>
      </c>
      <c r="BC50" s="27">
        <f t="shared" si="47"/>
        <v>0</v>
      </c>
      <c r="BD50" s="27">
        <f t="shared" si="48"/>
        <v>0</v>
      </c>
      <c r="BE50" s="27">
        <v>0</v>
      </c>
      <c r="BF50" s="27">
        <f t="shared" si="49"/>
        <v>0</v>
      </c>
      <c r="BH50" s="27">
        <f t="shared" si="50"/>
        <v>0</v>
      </c>
      <c r="BI50" s="27">
        <f t="shared" si="51"/>
        <v>0</v>
      </c>
      <c r="BJ50" s="27">
        <f t="shared" si="52"/>
        <v>0</v>
      </c>
      <c r="BK50" s="27"/>
      <c r="BL50" s="27">
        <v>732</v>
      </c>
      <c r="BW50" s="27">
        <f t="shared" si="53"/>
        <v>12</v>
      </c>
      <c r="BX50" s="4" t="s">
        <v>180</v>
      </c>
    </row>
    <row r="51" spans="1:76" ht="15" customHeight="1">
      <c r="A51" s="26" t="s">
        <v>181</v>
      </c>
      <c r="B51" s="3"/>
      <c r="C51" s="3" t="s">
        <v>182</v>
      </c>
      <c r="D51" s="58" t="s">
        <v>183</v>
      </c>
      <c r="E51" s="58"/>
      <c r="F51" s="3" t="s">
        <v>92</v>
      </c>
      <c r="G51" s="27">
        <v>1</v>
      </c>
      <c r="H51" s="27"/>
      <c r="I51" s="28">
        <v>12</v>
      </c>
      <c r="J51" s="27">
        <f t="shared" si="28"/>
        <v>0</v>
      </c>
      <c r="K51" s="27">
        <f t="shared" si="29"/>
        <v>0</v>
      </c>
      <c r="L51" s="27">
        <f t="shared" si="30"/>
        <v>0</v>
      </c>
      <c r="M51" s="27">
        <f t="shared" si="31"/>
        <v>0</v>
      </c>
      <c r="N51" s="27">
        <v>0</v>
      </c>
      <c r="O51" s="27">
        <f t="shared" si="32"/>
        <v>0</v>
      </c>
      <c r="P51" s="29"/>
      <c r="Z51" s="27">
        <f t="shared" si="33"/>
        <v>0</v>
      </c>
      <c r="AB51" s="27">
        <f t="shared" si="34"/>
        <v>0</v>
      </c>
      <c r="AC51" s="27">
        <f t="shared" si="35"/>
        <v>0</v>
      </c>
      <c r="AD51" s="27">
        <f t="shared" si="36"/>
        <v>0</v>
      </c>
      <c r="AE51" s="27">
        <f t="shared" si="37"/>
        <v>0</v>
      </c>
      <c r="AF51" s="27">
        <f t="shared" si="38"/>
        <v>0</v>
      </c>
      <c r="AG51" s="27">
        <f t="shared" si="39"/>
        <v>0</v>
      </c>
      <c r="AH51" s="27">
        <f t="shared" si="40"/>
        <v>0</v>
      </c>
      <c r="AI51" s="13"/>
      <c r="AJ51" s="27">
        <f t="shared" si="41"/>
        <v>0</v>
      </c>
      <c r="AK51" s="27">
        <f t="shared" si="42"/>
        <v>0</v>
      </c>
      <c r="AL51" s="27">
        <f t="shared" si="43"/>
        <v>0</v>
      </c>
      <c r="AN51" s="27">
        <v>12</v>
      </c>
      <c r="AO51" s="27">
        <f>H51*1</f>
        <v>0</v>
      </c>
      <c r="AP51" s="27">
        <f>H51*(1-1)</f>
        <v>0</v>
      </c>
      <c r="AQ51" s="30" t="s">
        <v>61</v>
      </c>
      <c r="AV51" s="27">
        <f t="shared" si="44"/>
        <v>0</v>
      </c>
      <c r="AW51" s="27">
        <f t="shared" si="45"/>
        <v>0</v>
      </c>
      <c r="AX51" s="27">
        <f t="shared" si="46"/>
        <v>0</v>
      </c>
      <c r="AY51" s="30" t="s">
        <v>144</v>
      </c>
      <c r="AZ51" s="30" t="s">
        <v>89</v>
      </c>
      <c r="BA51" s="13" t="s">
        <v>64</v>
      </c>
      <c r="BC51" s="27">
        <f t="shared" si="47"/>
        <v>0</v>
      </c>
      <c r="BD51" s="27">
        <f t="shared" si="48"/>
        <v>0</v>
      </c>
      <c r="BE51" s="27">
        <v>0</v>
      </c>
      <c r="BF51" s="27">
        <f t="shared" si="49"/>
        <v>0</v>
      </c>
      <c r="BH51" s="27">
        <f t="shared" si="50"/>
        <v>0</v>
      </c>
      <c r="BI51" s="27">
        <f t="shared" si="51"/>
        <v>0</v>
      </c>
      <c r="BJ51" s="27">
        <f t="shared" si="52"/>
        <v>0</v>
      </c>
      <c r="BK51" s="27"/>
      <c r="BL51" s="27">
        <v>732</v>
      </c>
      <c r="BW51" s="27">
        <f t="shared" si="53"/>
        <v>12</v>
      </c>
      <c r="BX51" s="4" t="s">
        <v>183</v>
      </c>
    </row>
    <row r="52" spans="1:76" ht="15" customHeight="1">
      <c r="A52" s="26" t="s">
        <v>184</v>
      </c>
      <c r="B52" s="3"/>
      <c r="C52" s="3" t="s">
        <v>185</v>
      </c>
      <c r="D52" s="58" t="s">
        <v>186</v>
      </c>
      <c r="E52" s="58"/>
      <c r="F52" s="3" t="s">
        <v>70</v>
      </c>
      <c r="G52" s="27">
        <v>2</v>
      </c>
      <c r="H52" s="27"/>
      <c r="I52" s="28">
        <v>12</v>
      </c>
      <c r="J52" s="27">
        <f t="shared" si="28"/>
        <v>0</v>
      </c>
      <c r="K52" s="27">
        <f t="shared" si="29"/>
        <v>0</v>
      </c>
      <c r="L52" s="27">
        <f t="shared" si="30"/>
        <v>0</v>
      </c>
      <c r="M52" s="27">
        <f t="shared" si="31"/>
        <v>0</v>
      </c>
      <c r="N52" s="27">
        <v>7.7420000000000003E-2</v>
      </c>
      <c r="O52" s="27">
        <f t="shared" si="32"/>
        <v>0.15484000000000001</v>
      </c>
      <c r="P52" s="29" t="s">
        <v>60</v>
      </c>
      <c r="Z52" s="27">
        <f t="shared" si="33"/>
        <v>0</v>
      </c>
      <c r="AB52" s="27">
        <f t="shared" si="34"/>
        <v>0</v>
      </c>
      <c r="AC52" s="27">
        <f t="shared" si="35"/>
        <v>0</v>
      </c>
      <c r="AD52" s="27">
        <f t="shared" si="36"/>
        <v>0</v>
      </c>
      <c r="AE52" s="27">
        <f t="shared" si="37"/>
        <v>0</v>
      </c>
      <c r="AF52" s="27">
        <f t="shared" si="38"/>
        <v>0</v>
      </c>
      <c r="AG52" s="27">
        <f t="shared" si="39"/>
        <v>0</v>
      </c>
      <c r="AH52" s="27">
        <f t="shared" si="40"/>
        <v>0</v>
      </c>
      <c r="AI52" s="13"/>
      <c r="AJ52" s="27">
        <f t="shared" si="41"/>
        <v>0</v>
      </c>
      <c r="AK52" s="27">
        <f t="shared" si="42"/>
        <v>0</v>
      </c>
      <c r="AL52" s="27">
        <f t="shared" si="43"/>
        <v>0</v>
      </c>
      <c r="AN52" s="27">
        <v>12</v>
      </c>
      <c r="AO52" s="27">
        <f>H52*0</f>
        <v>0</v>
      </c>
      <c r="AP52" s="27">
        <f>H52*(1-0)</f>
        <v>0</v>
      </c>
      <c r="AQ52" s="30" t="s">
        <v>61</v>
      </c>
      <c r="AV52" s="27">
        <f t="shared" si="44"/>
        <v>0</v>
      </c>
      <c r="AW52" s="27">
        <f t="shared" si="45"/>
        <v>0</v>
      </c>
      <c r="AX52" s="27">
        <f t="shared" si="46"/>
        <v>0</v>
      </c>
      <c r="AY52" s="30" t="s">
        <v>144</v>
      </c>
      <c r="AZ52" s="30" t="s">
        <v>89</v>
      </c>
      <c r="BA52" s="13" t="s">
        <v>64</v>
      </c>
      <c r="BC52" s="27">
        <f t="shared" si="47"/>
        <v>0</v>
      </c>
      <c r="BD52" s="27">
        <f t="shared" si="48"/>
        <v>0</v>
      </c>
      <c r="BE52" s="27">
        <v>0</v>
      </c>
      <c r="BF52" s="27">
        <f t="shared" si="49"/>
        <v>0.15484000000000001</v>
      </c>
      <c r="BH52" s="27">
        <f t="shared" si="50"/>
        <v>0</v>
      </c>
      <c r="BI52" s="27">
        <f t="shared" si="51"/>
        <v>0</v>
      </c>
      <c r="BJ52" s="27">
        <f t="shared" si="52"/>
        <v>0</v>
      </c>
      <c r="BK52" s="27"/>
      <c r="BL52" s="27">
        <v>732</v>
      </c>
      <c r="BW52" s="27">
        <f t="shared" si="53"/>
        <v>12</v>
      </c>
      <c r="BX52" s="4" t="s">
        <v>186</v>
      </c>
    </row>
    <row r="53" spans="1:76" ht="15" customHeight="1">
      <c r="A53" s="26" t="s">
        <v>187</v>
      </c>
      <c r="B53" s="3"/>
      <c r="C53" s="3" t="s">
        <v>188</v>
      </c>
      <c r="D53" s="58" t="s">
        <v>189</v>
      </c>
      <c r="E53" s="58"/>
      <c r="F53" s="3" t="s">
        <v>87</v>
      </c>
      <c r="G53" s="27">
        <v>2</v>
      </c>
      <c r="H53" s="27"/>
      <c r="I53" s="28">
        <v>12</v>
      </c>
      <c r="J53" s="27">
        <f t="shared" si="28"/>
        <v>0</v>
      </c>
      <c r="K53" s="27">
        <f t="shared" si="29"/>
        <v>0</v>
      </c>
      <c r="L53" s="27">
        <f t="shared" si="30"/>
        <v>0</v>
      </c>
      <c r="M53" s="27">
        <f t="shared" si="31"/>
        <v>0</v>
      </c>
      <c r="N53" s="27">
        <v>6.6E-4</v>
      </c>
      <c r="O53" s="27">
        <f t="shared" si="32"/>
        <v>1.32E-3</v>
      </c>
      <c r="P53" s="29" t="s">
        <v>60</v>
      </c>
      <c r="Z53" s="27">
        <f t="shared" si="33"/>
        <v>0</v>
      </c>
      <c r="AB53" s="27">
        <f t="shared" si="34"/>
        <v>0</v>
      </c>
      <c r="AC53" s="27">
        <f t="shared" si="35"/>
        <v>0</v>
      </c>
      <c r="AD53" s="27">
        <f t="shared" si="36"/>
        <v>0</v>
      </c>
      <c r="AE53" s="27">
        <f t="shared" si="37"/>
        <v>0</v>
      </c>
      <c r="AF53" s="27">
        <f t="shared" si="38"/>
        <v>0</v>
      </c>
      <c r="AG53" s="27">
        <f t="shared" si="39"/>
        <v>0</v>
      </c>
      <c r="AH53" s="27">
        <f t="shared" si="40"/>
        <v>0</v>
      </c>
      <c r="AI53" s="13"/>
      <c r="AJ53" s="27">
        <f t="shared" si="41"/>
        <v>0</v>
      </c>
      <c r="AK53" s="27">
        <f t="shared" si="42"/>
        <v>0</v>
      </c>
      <c r="AL53" s="27">
        <f t="shared" si="43"/>
        <v>0</v>
      </c>
      <c r="AN53" s="27">
        <v>12</v>
      </c>
      <c r="AO53" s="27">
        <f>H53*0.327386018</f>
        <v>0</v>
      </c>
      <c r="AP53" s="27">
        <f>H53*(1-0.327386018)</f>
        <v>0</v>
      </c>
      <c r="AQ53" s="30" t="s">
        <v>61</v>
      </c>
      <c r="AV53" s="27">
        <f t="shared" si="44"/>
        <v>0</v>
      </c>
      <c r="AW53" s="27">
        <f t="shared" si="45"/>
        <v>0</v>
      </c>
      <c r="AX53" s="27">
        <f t="shared" si="46"/>
        <v>0</v>
      </c>
      <c r="AY53" s="30" t="s">
        <v>144</v>
      </c>
      <c r="AZ53" s="30" t="s">
        <v>89</v>
      </c>
      <c r="BA53" s="13" t="s">
        <v>64</v>
      </c>
      <c r="BC53" s="27">
        <f t="shared" si="47"/>
        <v>0</v>
      </c>
      <c r="BD53" s="27">
        <f t="shared" si="48"/>
        <v>0</v>
      </c>
      <c r="BE53" s="27">
        <v>0</v>
      </c>
      <c r="BF53" s="27">
        <f t="shared" si="49"/>
        <v>1.32E-3</v>
      </c>
      <c r="BH53" s="27">
        <f t="shared" si="50"/>
        <v>0</v>
      </c>
      <c r="BI53" s="27">
        <f t="shared" si="51"/>
        <v>0</v>
      </c>
      <c r="BJ53" s="27">
        <f t="shared" si="52"/>
        <v>0</v>
      </c>
      <c r="BK53" s="27"/>
      <c r="BL53" s="27">
        <v>732</v>
      </c>
      <c r="BW53" s="27">
        <f t="shared" si="53"/>
        <v>12</v>
      </c>
      <c r="BX53" s="4" t="s">
        <v>189</v>
      </c>
    </row>
    <row r="54" spans="1:76" ht="15" customHeight="1">
      <c r="A54" s="26" t="s">
        <v>190</v>
      </c>
      <c r="B54" s="3"/>
      <c r="C54" s="3" t="s">
        <v>191</v>
      </c>
      <c r="D54" s="58" t="s">
        <v>192</v>
      </c>
      <c r="E54" s="58"/>
      <c r="F54" s="3" t="s">
        <v>87</v>
      </c>
      <c r="G54" s="27">
        <v>2</v>
      </c>
      <c r="H54" s="27"/>
      <c r="I54" s="28">
        <v>12</v>
      </c>
      <c r="J54" s="27">
        <f t="shared" si="28"/>
        <v>0</v>
      </c>
      <c r="K54" s="27">
        <f t="shared" si="29"/>
        <v>0</v>
      </c>
      <c r="L54" s="27">
        <f t="shared" si="30"/>
        <v>0</v>
      </c>
      <c r="M54" s="27">
        <f t="shared" si="31"/>
        <v>0</v>
      </c>
      <c r="N54" s="27">
        <v>7.7999999999999999E-4</v>
      </c>
      <c r="O54" s="27">
        <f t="shared" si="32"/>
        <v>1.56E-3</v>
      </c>
      <c r="P54" s="29" t="s">
        <v>60</v>
      </c>
      <c r="Z54" s="27">
        <f t="shared" si="33"/>
        <v>0</v>
      </c>
      <c r="AB54" s="27">
        <f t="shared" si="34"/>
        <v>0</v>
      </c>
      <c r="AC54" s="27">
        <f t="shared" si="35"/>
        <v>0</v>
      </c>
      <c r="AD54" s="27">
        <f t="shared" si="36"/>
        <v>0</v>
      </c>
      <c r="AE54" s="27">
        <f t="shared" si="37"/>
        <v>0</v>
      </c>
      <c r="AF54" s="27">
        <f t="shared" si="38"/>
        <v>0</v>
      </c>
      <c r="AG54" s="27">
        <f t="shared" si="39"/>
        <v>0</v>
      </c>
      <c r="AH54" s="27">
        <f t="shared" si="40"/>
        <v>0</v>
      </c>
      <c r="AI54" s="13"/>
      <c r="AJ54" s="27">
        <f t="shared" si="41"/>
        <v>0</v>
      </c>
      <c r="AK54" s="27">
        <f t="shared" si="42"/>
        <v>0</v>
      </c>
      <c r="AL54" s="27">
        <f t="shared" si="43"/>
        <v>0</v>
      </c>
      <c r="AN54" s="27">
        <v>12</v>
      </c>
      <c r="AO54" s="27">
        <f>H54*0.329752282</f>
        <v>0</v>
      </c>
      <c r="AP54" s="27">
        <f>H54*(1-0.329752282)</f>
        <v>0</v>
      </c>
      <c r="AQ54" s="30" t="s">
        <v>61</v>
      </c>
      <c r="AV54" s="27">
        <f t="shared" si="44"/>
        <v>0</v>
      </c>
      <c r="AW54" s="27">
        <f t="shared" si="45"/>
        <v>0</v>
      </c>
      <c r="AX54" s="27">
        <f t="shared" si="46"/>
        <v>0</v>
      </c>
      <c r="AY54" s="30" t="s">
        <v>144</v>
      </c>
      <c r="AZ54" s="30" t="s">
        <v>89</v>
      </c>
      <c r="BA54" s="13" t="s">
        <v>64</v>
      </c>
      <c r="BC54" s="27">
        <f t="shared" si="47"/>
        <v>0</v>
      </c>
      <c r="BD54" s="27">
        <f t="shared" si="48"/>
        <v>0</v>
      </c>
      <c r="BE54" s="27">
        <v>0</v>
      </c>
      <c r="BF54" s="27">
        <f t="shared" si="49"/>
        <v>1.56E-3</v>
      </c>
      <c r="BH54" s="27">
        <f t="shared" si="50"/>
        <v>0</v>
      </c>
      <c r="BI54" s="27">
        <f t="shared" si="51"/>
        <v>0</v>
      </c>
      <c r="BJ54" s="27">
        <f t="shared" si="52"/>
        <v>0</v>
      </c>
      <c r="BK54" s="27"/>
      <c r="BL54" s="27">
        <v>732</v>
      </c>
      <c r="BW54" s="27">
        <f t="shared" si="53"/>
        <v>12</v>
      </c>
      <c r="BX54" s="4" t="s">
        <v>192</v>
      </c>
    </row>
    <row r="55" spans="1:76" ht="15" customHeight="1">
      <c r="A55" s="26" t="s">
        <v>193</v>
      </c>
      <c r="B55" s="3"/>
      <c r="C55" s="3" t="s">
        <v>194</v>
      </c>
      <c r="D55" s="58" t="s">
        <v>195</v>
      </c>
      <c r="E55" s="58"/>
      <c r="F55" s="3" t="s">
        <v>87</v>
      </c>
      <c r="G55" s="27">
        <v>2</v>
      </c>
      <c r="H55" s="27"/>
      <c r="I55" s="28">
        <v>12</v>
      </c>
      <c r="J55" s="27">
        <f t="shared" si="28"/>
        <v>0</v>
      </c>
      <c r="K55" s="27">
        <f t="shared" si="29"/>
        <v>0</v>
      </c>
      <c r="L55" s="27">
        <f t="shared" si="30"/>
        <v>0</v>
      </c>
      <c r="M55" s="27">
        <f t="shared" si="31"/>
        <v>0</v>
      </c>
      <c r="N55" s="27">
        <v>1.58E-3</v>
      </c>
      <c r="O55" s="27">
        <f t="shared" si="32"/>
        <v>3.16E-3</v>
      </c>
      <c r="P55" s="29" t="s">
        <v>60</v>
      </c>
      <c r="Z55" s="27">
        <f t="shared" si="33"/>
        <v>0</v>
      </c>
      <c r="AB55" s="27">
        <f t="shared" si="34"/>
        <v>0</v>
      </c>
      <c r="AC55" s="27">
        <f t="shared" si="35"/>
        <v>0</v>
      </c>
      <c r="AD55" s="27">
        <f t="shared" si="36"/>
        <v>0</v>
      </c>
      <c r="AE55" s="27">
        <f t="shared" si="37"/>
        <v>0</v>
      </c>
      <c r="AF55" s="27">
        <f t="shared" si="38"/>
        <v>0</v>
      </c>
      <c r="AG55" s="27">
        <f t="shared" si="39"/>
        <v>0</v>
      </c>
      <c r="AH55" s="27">
        <f t="shared" si="40"/>
        <v>0</v>
      </c>
      <c r="AI55" s="13"/>
      <c r="AJ55" s="27">
        <f t="shared" si="41"/>
        <v>0</v>
      </c>
      <c r="AK55" s="27">
        <f t="shared" si="42"/>
        <v>0</v>
      </c>
      <c r="AL55" s="27">
        <f t="shared" si="43"/>
        <v>0</v>
      </c>
      <c r="AN55" s="27">
        <v>12</v>
      </c>
      <c r="AO55" s="27">
        <f>H55*0.350730838</f>
        <v>0</v>
      </c>
      <c r="AP55" s="27">
        <f>H55*(1-0.350730838)</f>
        <v>0</v>
      </c>
      <c r="AQ55" s="30" t="s">
        <v>61</v>
      </c>
      <c r="AV55" s="27">
        <f t="shared" si="44"/>
        <v>0</v>
      </c>
      <c r="AW55" s="27">
        <f t="shared" si="45"/>
        <v>0</v>
      </c>
      <c r="AX55" s="27">
        <f t="shared" si="46"/>
        <v>0</v>
      </c>
      <c r="AY55" s="30" t="s">
        <v>144</v>
      </c>
      <c r="AZ55" s="30" t="s">
        <v>89</v>
      </c>
      <c r="BA55" s="13" t="s">
        <v>64</v>
      </c>
      <c r="BC55" s="27">
        <f t="shared" si="47"/>
        <v>0</v>
      </c>
      <c r="BD55" s="27">
        <f t="shared" si="48"/>
        <v>0</v>
      </c>
      <c r="BE55" s="27">
        <v>0</v>
      </c>
      <c r="BF55" s="27">
        <f t="shared" si="49"/>
        <v>3.16E-3</v>
      </c>
      <c r="BH55" s="27">
        <f t="shared" si="50"/>
        <v>0</v>
      </c>
      <c r="BI55" s="27">
        <f t="shared" si="51"/>
        <v>0</v>
      </c>
      <c r="BJ55" s="27">
        <f t="shared" si="52"/>
        <v>0</v>
      </c>
      <c r="BK55" s="27"/>
      <c r="BL55" s="27">
        <v>732</v>
      </c>
      <c r="BW55" s="27">
        <f t="shared" si="53"/>
        <v>12</v>
      </c>
      <c r="BX55" s="4" t="s">
        <v>195</v>
      </c>
    </row>
    <row r="56" spans="1:76" ht="15" customHeight="1">
      <c r="A56" s="26" t="s">
        <v>196</v>
      </c>
      <c r="B56" s="3"/>
      <c r="C56" s="3" t="s">
        <v>197</v>
      </c>
      <c r="D56" s="58" t="s">
        <v>198</v>
      </c>
      <c r="E56" s="58"/>
      <c r="F56" s="3" t="s">
        <v>87</v>
      </c>
      <c r="G56" s="27">
        <v>2</v>
      </c>
      <c r="H56" s="27"/>
      <c r="I56" s="28">
        <v>12</v>
      </c>
      <c r="J56" s="27">
        <f t="shared" si="28"/>
        <v>0</v>
      </c>
      <c r="K56" s="27">
        <f t="shared" si="29"/>
        <v>0</v>
      </c>
      <c r="L56" s="27">
        <f t="shared" si="30"/>
        <v>0</v>
      </c>
      <c r="M56" s="27">
        <f t="shared" si="31"/>
        <v>0</v>
      </c>
      <c r="N56" s="27">
        <v>2.3500000000000001E-3</v>
      </c>
      <c r="O56" s="27">
        <f t="shared" si="32"/>
        <v>4.7000000000000002E-3</v>
      </c>
      <c r="P56" s="29" t="s">
        <v>60</v>
      </c>
      <c r="Z56" s="27">
        <f t="shared" si="33"/>
        <v>0</v>
      </c>
      <c r="AB56" s="27">
        <f t="shared" si="34"/>
        <v>0</v>
      </c>
      <c r="AC56" s="27">
        <f t="shared" si="35"/>
        <v>0</v>
      </c>
      <c r="AD56" s="27">
        <f t="shared" si="36"/>
        <v>0</v>
      </c>
      <c r="AE56" s="27">
        <f t="shared" si="37"/>
        <v>0</v>
      </c>
      <c r="AF56" s="27">
        <f t="shared" si="38"/>
        <v>0</v>
      </c>
      <c r="AG56" s="27">
        <f t="shared" si="39"/>
        <v>0</v>
      </c>
      <c r="AH56" s="27">
        <f t="shared" si="40"/>
        <v>0</v>
      </c>
      <c r="AI56" s="13"/>
      <c r="AJ56" s="27">
        <f t="shared" si="41"/>
        <v>0</v>
      </c>
      <c r="AK56" s="27">
        <f t="shared" si="42"/>
        <v>0</v>
      </c>
      <c r="AL56" s="27">
        <f t="shared" si="43"/>
        <v>0</v>
      </c>
      <c r="AN56" s="27">
        <v>12</v>
      </c>
      <c r="AO56" s="27">
        <f>H56*0.373922462</f>
        <v>0</v>
      </c>
      <c r="AP56" s="27">
        <f>H56*(1-0.373922462)</f>
        <v>0</v>
      </c>
      <c r="AQ56" s="30" t="s">
        <v>61</v>
      </c>
      <c r="AV56" s="27">
        <f t="shared" si="44"/>
        <v>0</v>
      </c>
      <c r="AW56" s="27">
        <f t="shared" si="45"/>
        <v>0</v>
      </c>
      <c r="AX56" s="27">
        <f t="shared" si="46"/>
        <v>0</v>
      </c>
      <c r="AY56" s="30" t="s">
        <v>144</v>
      </c>
      <c r="AZ56" s="30" t="s">
        <v>89</v>
      </c>
      <c r="BA56" s="13" t="s">
        <v>64</v>
      </c>
      <c r="BC56" s="27">
        <f t="shared" si="47"/>
        <v>0</v>
      </c>
      <c r="BD56" s="27">
        <f t="shared" si="48"/>
        <v>0</v>
      </c>
      <c r="BE56" s="27">
        <v>0</v>
      </c>
      <c r="BF56" s="27">
        <f t="shared" si="49"/>
        <v>4.7000000000000002E-3</v>
      </c>
      <c r="BH56" s="27">
        <f t="shared" si="50"/>
        <v>0</v>
      </c>
      <c r="BI56" s="27">
        <f t="shared" si="51"/>
        <v>0</v>
      </c>
      <c r="BJ56" s="27">
        <f t="shared" si="52"/>
        <v>0</v>
      </c>
      <c r="BK56" s="27"/>
      <c r="BL56" s="27">
        <v>732</v>
      </c>
      <c r="BW56" s="27">
        <f t="shared" si="53"/>
        <v>12</v>
      </c>
      <c r="BX56" s="4" t="s">
        <v>198</v>
      </c>
    </row>
    <row r="57" spans="1:76" ht="15" customHeight="1">
      <c r="A57" s="26" t="s">
        <v>199</v>
      </c>
      <c r="B57" s="3"/>
      <c r="C57" s="3" t="s">
        <v>200</v>
      </c>
      <c r="D57" s="58" t="s">
        <v>201</v>
      </c>
      <c r="E57" s="58"/>
      <c r="F57" s="3" t="s">
        <v>87</v>
      </c>
      <c r="G57" s="27">
        <v>2</v>
      </c>
      <c r="H57" s="27"/>
      <c r="I57" s="28">
        <v>12</v>
      </c>
      <c r="J57" s="27">
        <f t="shared" si="28"/>
        <v>0</v>
      </c>
      <c r="K57" s="27">
        <f t="shared" si="29"/>
        <v>0</v>
      </c>
      <c r="L57" s="27">
        <f t="shared" si="30"/>
        <v>0</v>
      </c>
      <c r="M57" s="27">
        <f t="shared" si="31"/>
        <v>0</v>
      </c>
      <c r="N57" s="27">
        <v>6.6129999999999994E-2</v>
      </c>
      <c r="O57" s="27">
        <f t="shared" si="32"/>
        <v>0.13225999999999999</v>
      </c>
      <c r="P57" s="29" t="s">
        <v>60</v>
      </c>
      <c r="Z57" s="27">
        <f t="shared" si="33"/>
        <v>0</v>
      </c>
      <c r="AB57" s="27">
        <f t="shared" si="34"/>
        <v>0</v>
      </c>
      <c r="AC57" s="27">
        <f t="shared" si="35"/>
        <v>0</v>
      </c>
      <c r="AD57" s="27">
        <f t="shared" si="36"/>
        <v>0</v>
      </c>
      <c r="AE57" s="27">
        <f t="shared" si="37"/>
        <v>0</v>
      </c>
      <c r="AF57" s="27">
        <f t="shared" si="38"/>
        <v>0</v>
      </c>
      <c r="AG57" s="27">
        <f t="shared" si="39"/>
        <v>0</v>
      </c>
      <c r="AH57" s="27">
        <f t="shared" si="40"/>
        <v>0</v>
      </c>
      <c r="AI57" s="13"/>
      <c r="AJ57" s="27">
        <f t="shared" si="41"/>
        <v>0</v>
      </c>
      <c r="AK57" s="27">
        <f t="shared" si="42"/>
        <v>0</v>
      </c>
      <c r="AL57" s="27">
        <f t="shared" si="43"/>
        <v>0</v>
      </c>
      <c r="AN57" s="27">
        <v>12</v>
      </c>
      <c r="AO57" s="27">
        <f>H57*0.649596277</f>
        <v>0</v>
      </c>
      <c r="AP57" s="27">
        <f>H57*(1-0.649596277)</f>
        <v>0</v>
      </c>
      <c r="AQ57" s="30" t="s">
        <v>61</v>
      </c>
      <c r="AV57" s="27">
        <f t="shared" si="44"/>
        <v>0</v>
      </c>
      <c r="AW57" s="27">
        <f t="shared" si="45"/>
        <v>0</v>
      </c>
      <c r="AX57" s="27">
        <f t="shared" si="46"/>
        <v>0</v>
      </c>
      <c r="AY57" s="30" t="s">
        <v>144</v>
      </c>
      <c r="AZ57" s="30" t="s">
        <v>89</v>
      </c>
      <c r="BA57" s="13" t="s">
        <v>64</v>
      </c>
      <c r="BC57" s="27">
        <f t="shared" si="47"/>
        <v>0</v>
      </c>
      <c r="BD57" s="27">
        <f t="shared" si="48"/>
        <v>0</v>
      </c>
      <c r="BE57" s="27">
        <v>0</v>
      </c>
      <c r="BF57" s="27">
        <f t="shared" si="49"/>
        <v>0.13225999999999999</v>
      </c>
      <c r="BH57" s="27">
        <f t="shared" si="50"/>
        <v>0</v>
      </c>
      <c r="BI57" s="27">
        <f t="shared" si="51"/>
        <v>0</v>
      </c>
      <c r="BJ57" s="27">
        <f t="shared" si="52"/>
        <v>0</v>
      </c>
      <c r="BK57" s="27"/>
      <c r="BL57" s="27">
        <v>732</v>
      </c>
      <c r="BW57" s="27">
        <f t="shared" si="53"/>
        <v>12</v>
      </c>
      <c r="BX57" s="4" t="s">
        <v>201</v>
      </c>
    </row>
    <row r="58" spans="1:76" ht="15" customHeight="1">
      <c r="A58" s="26" t="s">
        <v>202</v>
      </c>
      <c r="B58" s="3"/>
      <c r="C58" s="3" t="s">
        <v>203</v>
      </c>
      <c r="D58" s="58" t="s">
        <v>204</v>
      </c>
      <c r="E58" s="58"/>
      <c r="F58" s="3" t="s">
        <v>87</v>
      </c>
      <c r="G58" s="27">
        <v>2</v>
      </c>
      <c r="H58" s="27"/>
      <c r="I58" s="28">
        <v>12</v>
      </c>
      <c r="J58" s="27">
        <f t="shared" si="28"/>
        <v>0</v>
      </c>
      <c r="K58" s="27">
        <f t="shared" si="29"/>
        <v>0</v>
      </c>
      <c r="L58" s="27">
        <f t="shared" si="30"/>
        <v>0</v>
      </c>
      <c r="M58" s="27">
        <f t="shared" si="31"/>
        <v>0</v>
      </c>
      <c r="N58" s="27">
        <v>7.7990000000000004E-2</v>
      </c>
      <c r="O58" s="27">
        <f t="shared" si="32"/>
        <v>0.15598000000000001</v>
      </c>
      <c r="P58" s="29" t="s">
        <v>60</v>
      </c>
      <c r="Z58" s="27">
        <f t="shared" si="33"/>
        <v>0</v>
      </c>
      <c r="AB58" s="27">
        <f t="shared" si="34"/>
        <v>0</v>
      </c>
      <c r="AC58" s="27">
        <f t="shared" si="35"/>
        <v>0</v>
      </c>
      <c r="AD58" s="27">
        <f t="shared" si="36"/>
        <v>0</v>
      </c>
      <c r="AE58" s="27">
        <f t="shared" si="37"/>
        <v>0</v>
      </c>
      <c r="AF58" s="27">
        <f t="shared" si="38"/>
        <v>0</v>
      </c>
      <c r="AG58" s="27">
        <f t="shared" si="39"/>
        <v>0</v>
      </c>
      <c r="AH58" s="27">
        <f t="shared" si="40"/>
        <v>0</v>
      </c>
      <c r="AI58" s="13"/>
      <c r="AJ58" s="27">
        <f t="shared" si="41"/>
        <v>0</v>
      </c>
      <c r="AK58" s="27">
        <f t="shared" si="42"/>
        <v>0</v>
      </c>
      <c r="AL58" s="27">
        <f t="shared" si="43"/>
        <v>0</v>
      </c>
      <c r="AN58" s="27">
        <v>12</v>
      </c>
      <c r="AO58" s="27">
        <f>H58*0.459723785</f>
        <v>0</v>
      </c>
      <c r="AP58" s="27">
        <f>H58*(1-0.459723785)</f>
        <v>0</v>
      </c>
      <c r="AQ58" s="30" t="s">
        <v>61</v>
      </c>
      <c r="AV58" s="27">
        <f t="shared" si="44"/>
        <v>0</v>
      </c>
      <c r="AW58" s="27">
        <f t="shared" si="45"/>
        <v>0</v>
      </c>
      <c r="AX58" s="27">
        <f t="shared" si="46"/>
        <v>0</v>
      </c>
      <c r="AY58" s="30" t="s">
        <v>144</v>
      </c>
      <c r="AZ58" s="30" t="s">
        <v>89</v>
      </c>
      <c r="BA58" s="13" t="s">
        <v>64</v>
      </c>
      <c r="BC58" s="27">
        <f t="shared" si="47"/>
        <v>0</v>
      </c>
      <c r="BD58" s="27">
        <f t="shared" si="48"/>
        <v>0</v>
      </c>
      <c r="BE58" s="27">
        <v>0</v>
      </c>
      <c r="BF58" s="27">
        <f t="shared" si="49"/>
        <v>0.15598000000000001</v>
      </c>
      <c r="BH58" s="27">
        <f t="shared" si="50"/>
        <v>0</v>
      </c>
      <c r="BI58" s="27">
        <f t="shared" si="51"/>
        <v>0</v>
      </c>
      <c r="BJ58" s="27">
        <f t="shared" si="52"/>
        <v>0</v>
      </c>
      <c r="BK58" s="27"/>
      <c r="BL58" s="27">
        <v>732</v>
      </c>
      <c r="BW58" s="27">
        <f t="shared" si="53"/>
        <v>12</v>
      </c>
      <c r="BX58" s="4" t="s">
        <v>204</v>
      </c>
    </row>
    <row r="59" spans="1:76" ht="15" customHeight="1">
      <c r="A59" s="26" t="s">
        <v>205</v>
      </c>
      <c r="B59" s="3"/>
      <c r="C59" s="3" t="s">
        <v>206</v>
      </c>
      <c r="D59" s="58" t="s">
        <v>207</v>
      </c>
      <c r="E59" s="58"/>
      <c r="F59" s="3" t="s">
        <v>96</v>
      </c>
      <c r="G59" s="27">
        <v>2</v>
      </c>
      <c r="H59" s="27"/>
      <c r="I59" s="28">
        <v>12</v>
      </c>
      <c r="J59" s="27">
        <f t="shared" si="28"/>
        <v>0</v>
      </c>
      <c r="K59" s="27">
        <f t="shared" si="29"/>
        <v>0</v>
      </c>
      <c r="L59" s="27">
        <f t="shared" si="30"/>
        <v>0</v>
      </c>
      <c r="M59" s="27">
        <f t="shared" si="31"/>
        <v>0</v>
      </c>
      <c r="N59" s="27">
        <v>2.2000000000000001E-3</v>
      </c>
      <c r="O59" s="27">
        <f t="shared" si="32"/>
        <v>4.4000000000000003E-3</v>
      </c>
      <c r="P59" s="29" t="s">
        <v>60</v>
      </c>
      <c r="Z59" s="27">
        <f t="shared" si="33"/>
        <v>0</v>
      </c>
      <c r="AB59" s="27">
        <f t="shared" si="34"/>
        <v>0</v>
      </c>
      <c r="AC59" s="27">
        <f t="shared" si="35"/>
        <v>0</v>
      </c>
      <c r="AD59" s="27">
        <f t="shared" si="36"/>
        <v>0</v>
      </c>
      <c r="AE59" s="27">
        <f t="shared" si="37"/>
        <v>0</v>
      </c>
      <c r="AF59" s="27">
        <f t="shared" si="38"/>
        <v>0</v>
      </c>
      <c r="AG59" s="27">
        <f t="shared" si="39"/>
        <v>0</v>
      </c>
      <c r="AH59" s="27">
        <f t="shared" si="40"/>
        <v>0</v>
      </c>
      <c r="AI59" s="13"/>
      <c r="AJ59" s="27">
        <f t="shared" si="41"/>
        <v>0</v>
      </c>
      <c r="AK59" s="27">
        <f t="shared" si="42"/>
        <v>0</v>
      </c>
      <c r="AL59" s="27">
        <f t="shared" si="43"/>
        <v>0</v>
      </c>
      <c r="AN59" s="27">
        <v>12</v>
      </c>
      <c r="AO59" s="27">
        <f>H59*0.291754926</f>
        <v>0</v>
      </c>
      <c r="AP59" s="27">
        <f>H59*(1-0.291754926)</f>
        <v>0</v>
      </c>
      <c r="AQ59" s="30" t="s">
        <v>61</v>
      </c>
      <c r="AV59" s="27">
        <f t="shared" si="44"/>
        <v>0</v>
      </c>
      <c r="AW59" s="27">
        <f t="shared" si="45"/>
        <v>0</v>
      </c>
      <c r="AX59" s="27">
        <f t="shared" si="46"/>
        <v>0</v>
      </c>
      <c r="AY59" s="30" t="s">
        <v>144</v>
      </c>
      <c r="AZ59" s="30" t="s">
        <v>89</v>
      </c>
      <c r="BA59" s="13" t="s">
        <v>64</v>
      </c>
      <c r="BC59" s="27">
        <f t="shared" si="47"/>
        <v>0</v>
      </c>
      <c r="BD59" s="27">
        <f t="shared" si="48"/>
        <v>0</v>
      </c>
      <c r="BE59" s="27">
        <v>0</v>
      </c>
      <c r="BF59" s="27">
        <f t="shared" si="49"/>
        <v>4.4000000000000003E-3</v>
      </c>
      <c r="BH59" s="27">
        <f t="shared" si="50"/>
        <v>0</v>
      </c>
      <c r="BI59" s="27">
        <f t="shared" si="51"/>
        <v>0</v>
      </c>
      <c r="BJ59" s="27">
        <f t="shared" si="52"/>
        <v>0</v>
      </c>
      <c r="BK59" s="27"/>
      <c r="BL59" s="27">
        <v>732</v>
      </c>
      <c r="BW59" s="27">
        <f t="shared" si="53"/>
        <v>12</v>
      </c>
      <c r="BX59" s="4" t="s">
        <v>207</v>
      </c>
    </row>
    <row r="60" spans="1:76" ht="15" customHeight="1">
      <c r="A60" s="26" t="s">
        <v>208</v>
      </c>
      <c r="B60" s="3"/>
      <c r="C60" s="3" t="s">
        <v>209</v>
      </c>
      <c r="D60" s="58" t="s">
        <v>210</v>
      </c>
      <c r="E60" s="58"/>
      <c r="F60" s="3" t="s">
        <v>96</v>
      </c>
      <c r="G60" s="27">
        <v>1</v>
      </c>
      <c r="H60" s="27"/>
      <c r="I60" s="28">
        <v>12</v>
      </c>
      <c r="J60" s="27">
        <f t="shared" si="28"/>
        <v>0</v>
      </c>
      <c r="K60" s="27">
        <f t="shared" si="29"/>
        <v>0</v>
      </c>
      <c r="L60" s="27">
        <f t="shared" si="30"/>
        <v>0</v>
      </c>
      <c r="M60" s="27">
        <f t="shared" si="31"/>
        <v>0</v>
      </c>
      <c r="N60" s="27">
        <v>2.0000000000000001E-4</v>
      </c>
      <c r="O60" s="27">
        <f t="shared" si="32"/>
        <v>2.0000000000000001E-4</v>
      </c>
      <c r="P60" s="29" t="s">
        <v>60</v>
      </c>
      <c r="Z60" s="27">
        <f t="shared" si="33"/>
        <v>0</v>
      </c>
      <c r="AB60" s="27">
        <f t="shared" si="34"/>
        <v>0</v>
      </c>
      <c r="AC60" s="27">
        <f t="shared" si="35"/>
        <v>0</v>
      </c>
      <c r="AD60" s="27">
        <f t="shared" si="36"/>
        <v>0</v>
      </c>
      <c r="AE60" s="27">
        <f t="shared" si="37"/>
        <v>0</v>
      </c>
      <c r="AF60" s="27">
        <f t="shared" si="38"/>
        <v>0</v>
      </c>
      <c r="AG60" s="27">
        <f t="shared" si="39"/>
        <v>0</v>
      </c>
      <c r="AH60" s="27">
        <f t="shared" si="40"/>
        <v>0</v>
      </c>
      <c r="AI60" s="13"/>
      <c r="AJ60" s="27">
        <f t="shared" si="41"/>
        <v>0</v>
      </c>
      <c r="AK60" s="27">
        <f t="shared" si="42"/>
        <v>0</v>
      </c>
      <c r="AL60" s="27">
        <f t="shared" si="43"/>
        <v>0</v>
      </c>
      <c r="AN60" s="27">
        <v>12</v>
      </c>
      <c r="AO60" s="27">
        <f>H60*0.134634335</f>
        <v>0</v>
      </c>
      <c r="AP60" s="27">
        <f>H60*(1-0.134634335)</f>
        <v>0</v>
      </c>
      <c r="AQ60" s="30" t="s">
        <v>61</v>
      </c>
      <c r="AV60" s="27">
        <f t="shared" si="44"/>
        <v>0</v>
      </c>
      <c r="AW60" s="27">
        <f t="shared" si="45"/>
        <v>0</v>
      </c>
      <c r="AX60" s="27">
        <f t="shared" si="46"/>
        <v>0</v>
      </c>
      <c r="AY60" s="30" t="s">
        <v>144</v>
      </c>
      <c r="AZ60" s="30" t="s">
        <v>89</v>
      </c>
      <c r="BA60" s="13" t="s">
        <v>64</v>
      </c>
      <c r="BC60" s="27">
        <f t="shared" si="47"/>
        <v>0</v>
      </c>
      <c r="BD60" s="27">
        <f t="shared" si="48"/>
        <v>0</v>
      </c>
      <c r="BE60" s="27">
        <v>0</v>
      </c>
      <c r="BF60" s="27">
        <f t="shared" si="49"/>
        <v>2.0000000000000001E-4</v>
      </c>
      <c r="BH60" s="27">
        <f t="shared" si="50"/>
        <v>0</v>
      </c>
      <c r="BI60" s="27">
        <f t="shared" si="51"/>
        <v>0</v>
      </c>
      <c r="BJ60" s="27">
        <f t="shared" si="52"/>
        <v>0</v>
      </c>
      <c r="BK60" s="27"/>
      <c r="BL60" s="27">
        <v>732</v>
      </c>
      <c r="BW60" s="27">
        <f t="shared" si="53"/>
        <v>12</v>
      </c>
      <c r="BX60" s="4" t="s">
        <v>210</v>
      </c>
    </row>
    <row r="61" spans="1:76" ht="15" customHeight="1">
      <c r="A61" s="26" t="s">
        <v>211</v>
      </c>
      <c r="B61" s="3"/>
      <c r="C61" s="3" t="s">
        <v>212</v>
      </c>
      <c r="D61" s="58" t="s">
        <v>213</v>
      </c>
      <c r="E61" s="58"/>
      <c r="F61" s="3" t="s">
        <v>96</v>
      </c>
      <c r="G61" s="27">
        <v>1</v>
      </c>
      <c r="H61" s="27"/>
      <c r="I61" s="28">
        <v>12</v>
      </c>
      <c r="J61" s="27">
        <f t="shared" si="28"/>
        <v>0</v>
      </c>
      <c r="K61" s="27">
        <f t="shared" si="29"/>
        <v>0</v>
      </c>
      <c r="L61" s="27">
        <f t="shared" si="30"/>
        <v>0</v>
      </c>
      <c r="M61" s="27">
        <f t="shared" si="31"/>
        <v>0</v>
      </c>
      <c r="N61" s="27">
        <v>2.0000000000000001E-4</v>
      </c>
      <c r="O61" s="27">
        <f t="shared" si="32"/>
        <v>2.0000000000000001E-4</v>
      </c>
      <c r="P61" s="29" t="s">
        <v>60</v>
      </c>
      <c r="Z61" s="27">
        <f t="shared" si="33"/>
        <v>0</v>
      </c>
      <c r="AB61" s="27">
        <f t="shared" si="34"/>
        <v>0</v>
      </c>
      <c r="AC61" s="27">
        <f t="shared" si="35"/>
        <v>0</v>
      </c>
      <c r="AD61" s="27">
        <f t="shared" si="36"/>
        <v>0</v>
      </c>
      <c r="AE61" s="27">
        <f t="shared" si="37"/>
        <v>0</v>
      </c>
      <c r="AF61" s="27">
        <f t="shared" si="38"/>
        <v>0</v>
      </c>
      <c r="AG61" s="27">
        <f t="shared" si="39"/>
        <v>0</v>
      </c>
      <c r="AH61" s="27">
        <f t="shared" si="40"/>
        <v>0</v>
      </c>
      <c r="AI61" s="13"/>
      <c r="AJ61" s="27">
        <f t="shared" si="41"/>
        <v>0</v>
      </c>
      <c r="AK61" s="27">
        <f t="shared" si="42"/>
        <v>0</v>
      </c>
      <c r="AL61" s="27">
        <f t="shared" si="43"/>
        <v>0</v>
      </c>
      <c r="AN61" s="27">
        <v>12</v>
      </c>
      <c r="AO61" s="27">
        <f>H61*0.239482759</f>
        <v>0</v>
      </c>
      <c r="AP61" s="27">
        <f>H61*(1-0.239482759)</f>
        <v>0</v>
      </c>
      <c r="AQ61" s="30" t="s">
        <v>61</v>
      </c>
      <c r="AV61" s="27">
        <f t="shared" si="44"/>
        <v>0</v>
      </c>
      <c r="AW61" s="27">
        <f t="shared" si="45"/>
        <v>0</v>
      </c>
      <c r="AX61" s="27">
        <f t="shared" si="46"/>
        <v>0</v>
      </c>
      <c r="AY61" s="30" t="s">
        <v>144</v>
      </c>
      <c r="AZ61" s="30" t="s">
        <v>89</v>
      </c>
      <c r="BA61" s="13" t="s">
        <v>64</v>
      </c>
      <c r="BC61" s="27">
        <f t="shared" si="47"/>
        <v>0</v>
      </c>
      <c r="BD61" s="27">
        <f t="shared" si="48"/>
        <v>0</v>
      </c>
      <c r="BE61" s="27">
        <v>0</v>
      </c>
      <c r="BF61" s="27">
        <f t="shared" si="49"/>
        <v>2.0000000000000001E-4</v>
      </c>
      <c r="BH61" s="27">
        <f t="shared" si="50"/>
        <v>0</v>
      </c>
      <c r="BI61" s="27">
        <f t="shared" si="51"/>
        <v>0</v>
      </c>
      <c r="BJ61" s="27">
        <f t="shared" si="52"/>
        <v>0</v>
      </c>
      <c r="BK61" s="27"/>
      <c r="BL61" s="27">
        <v>732</v>
      </c>
      <c r="BW61" s="27">
        <f t="shared" si="53"/>
        <v>12</v>
      </c>
      <c r="BX61" s="4" t="s">
        <v>213</v>
      </c>
    </row>
    <row r="62" spans="1:76" ht="15" customHeight="1">
      <c r="A62" s="26" t="s">
        <v>214</v>
      </c>
      <c r="B62" s="3"/>
      <c r="C62" s="3" t="s">
        <v>215</v>
      </c>
      <c r="D62" s="58" t="s">
        <v>216</v>
      </c>
      <c r="E62" s="58"/>
      <c r="F62" s="3" t="s">
        <v>87</v>
      </c>
      <c r="G62" s="27">
        <v>1</v>
      </c>
      <c r="H62" s="27"/>
      <c r="I62" s="28">
        <v>12</v>
      </c>
      <c r="J62" s="27">
        <f t="shared" si="28"/>
        <v>0</v>
      </c>
      <c r="K62" s="27">
        <f t="shared" si="29"/>
        <v>0</v>
      </c>
      <c r="L62" s="27">
        <f t="shared" si="30"/>
        <v>0</v>
      </c>
      <c r="M62" s="27">
        <f t="shared" si="31"/>
        <v>0</v>
      </c>
      <c r="N62" s="27">
        <v>0</v>
      </c>
      <c r="O62" s="27">
        <f t="shared" si="32"/>
        <v>0</v>
      </c>
      <c r="P62" s="29" t="s">
        <v>60</v>
      </c>
      <c r="Z62" s="27">
        <f t="shared" si="33"/>
        <v>0</v>
      </c>
      <c r="AB62" s="27">
        <f t="shared" si="34"/>
        <v>0</v>
      </c>
      <c r="AC62" s="27">
        <f t="shared" si="35"/>
        <v>0</v>
      </c>
      <c r="AD62" s="27">
        <f t="shared" si="36"/>
        <v>0</v>
      </c>
      <c r="AE62" s="27">
        <f t="shared" si="37"/>
        <v>0</v>
      </c>
      <c r="AF62" s="27">
        <f t="shared" si="38"/>
        <v>0</v>
      </c>
      <c r="AG62" s="27">
        <f t="shared" si="39"/>
        <v>0</v>
      </c>
      <c r="AH62" s="27">
        <f t="shared" si="40"/>
        <v>0</v>
      </c>
      <c r="AI62" s="13"/>
      <c r="AJ62" s="27">
        <f t="shared" si="41"/>
        <v>0</v>
      </c>
      <c r="AK62" s="27">
        <f t="shared" si="42"/>
        <v>0</v>
      </c>
      <c r="AL62" s="27">
        <f t="shared" si="43"/>
        <v>0</v>
      </c>
      <c r="AN62" s="27">
        <v>12</v>
      </c>
      <c r="AO62" s="27">
        <f>H62*0</f>
        <v>0</v>
      </c>
      <c r="AP62" s="27">
        <f>H62*(1-0)</f>
        <v>0</v>
      </c>
      <c r="AQ62" s="30" t="s">
        <v>61</v>
      </c>
      <c r="AV62" s="27">
        <f t="shared" si="44"/>
        <v>0</v>
      </c>
      <c r="AW62" s="27">
        <f t="shared" si="45"/>
        <v>0</v>
      </c>
      <c r="AX62" s="27">
        <f t="shared" si="46"/>
        <v>0</v>
      </c>
      <c r="AY62" s="30" t="s">
        <v>144</v>
      </c>
      <c r="AZ62" s="30" t="s">
        <v>89</v>
      </c>
      <c r="BA62" s="13" t="s">
        <v>64</v>
      </c>
      <c r="BC62" s="27">
        <f t="shared" si="47"/>
        <v>0</v>
      </c>
      <c r="BD62" s="27">
        <f t="shared" si="48"/>
        <v>0</v>
      </c>
      <c r="BE62" s="27">
        <v>0</v>
      </c>
      <c r="BF62" s="27">
        <f t="shared" si="49"/>
        <v>0</v>
      </c>
      <c r="BH62" s="27">
        <f t="shared" si="50"/>
        <v>0</v>
      </c>
      <c r="BI62" s="27">
        <f t="shared" si="51"/>
        <v>0</v>
      </c>
      <c r="BJ62" s="27">
        <f t="shared" si="52"/>
        <v>0</v>
      </c>
      <c r="BK62" s="27"/>
      <c r="BL62" s="27">
        <v>732</v>
      </c>
      <c r="BW62" s="27">
        <f t="shared" si="53"/>
        <v>12</v>
      </c>
      <c r="BX62" s="4" t="s">
        <v>216</v>
      </c>
    </row>
    <row r="63" spans="1:76" ht="15" customHeight="1">
      <c r="A63" s="22"/>
      <c r="B63" s="23"/>
      <c r="C63" s="23" t="s">
        <v>217</v>
      </c>
      <c r="D63" s="59" t="s">
        <v>218</v>
      </c>
      <c r="E63" s="59"/>
      <c r="F63" s="24" t="s">
        <v>4</v>
      </c>
      <c r="G63" s="24" t="s">
        <v>4</v>
      </c>
      <c r="H63" s="24"/>
      <c r="I63" s="24" t="s">
        <v>4</v>
      </c>
      <c r="J63" s="6">
        <f>SUM(J64:J71)</f>
        <v>0</v>
      </c>
      <c r="K63" s="6">
        <f>SUM(K64:K71)</f>
        <v>0</v>
      </c>
      <c r="L63" s="6">
        <f>SUM(L64:L71)</f>
        <v>0</v>
      </c>
      <c r="M63" s="6">
        <f>SUM(M64:M71)</f>
        <v>0</v>
      </c>
      <c r="N63" s="13"/>
      <c r="O63" s="6">
        <f>SUM(O64:O71)</f>
        <v>0.48697999999999997</v>
      </c>
      <c r="P63" s="25"/>
      <c r="AI63" s="13"/>
      <c r="AS63" s="6">
        <f>SUM(AJ64:AJ71)</f>
        <v>0</v>
      </c>
      <c r="AT63" s="6">
        <f>SUM(AK64:AK71)</f>
        <v>0</v>
      </c>
      <c r="AU63" s="6">
        <f>SUM(AL64:AL71)</f>
        <v>0</v>
      </c>
    </row>
    <row r="64" spans="1:76" ht="15" customHeight="1">
      <c r="A64" s="26" t="s">
        <v>219</v>
      </c>
      <c r="B64" s="3"/>
      <c r="C64" s="3" t="s">
        <v>220</v>
      </c>
      <c r="D64" s="58" t="s">
        <v>221</v>
      </c>
      <c r="E64" s="58"/>
      <c r="F64" s="3" t="s">
        <v>70</v>
      </c>
      <c r="G64" s="27">
        <v>15</v>
      </c>
      <c r="H64" s="27"/>
      <c r="I64" s="28">
        <v>12</v>
      </c>
      <c r="J64" s="27">
        <f t="shared" ref="J64:J71" si="54">ROUND(G64*AO64,2)</f>
        <v>0</v>
      </c>
      <c r="K64" s="27">
        <f t="shared" ref="K64:K71" si="55">ROUND(G64*AP64,2)</f>
        <v>0</v>
      </c>
      <c r="L64" s="27">
        <f t="shared" ref="L64:L71" si="56">ROUND(G64*H64,2)</f>
        <v>0</v>
      </c>
      <c r="M64" s="27">
        <f t="shared" ref="M64:M71" si="57">L64*(1+BW64/100)</f>
        <v>0</v>
      </c>
      <c r="N64" s="27">
        <v>3.2200000000000002E-3</v>
      </c>
      <c r="O64" s="27">
        <f t="shared" ref="O64:O71" si="58">G64*N64</f>
        <v>4.8300000000000003E-2</v>
      </c>
      <c r="P64" s="29" t="s">
        <v>60</v>
      </c>
      <c r="Z64" s="27">
        <f t="shared" ref="Z64:Z71" si="59">ROUND(IF(AQ64="5",BJ64,0),2)</f>
        <v>0</v>
      </c>
      <c r="AB64" s="27">
        <f t="shared" ref="AB64:AB71" si="60">ROUND(IF(AQ64="1",BH64,0),2)</f>
        <v>0</v>
      </c>
      <c r="AC64" s="27">
        <f t="shared" ref="AC64:AC71" si="61">ROUND(IF(AQ64="1",BI64,0),2)</f>
        <v>0</v>
      </c>
      <c r="AD64" s="27">
        <f t="shared" ref="AD64:AD71" si="62">ROUND(IF(AQ64="7",BH64,0),2)</f>
        <v>0</v>
      </c>
      <c r="AE64" s="27">
        <f t="shared" ref="AE64:AE71" si="63">ROUND(IF(AQ64="7",BI64,0),2)</f>
        <v>0</v>
      </c>
      <c r="AF64" s="27">
        <f t="shared" ref="AF64:AF71" si="64">ROUND(IF(AQ64="2",BH64,0),2)</f>
        <v>0</v>
      </c>
      <c r="AG64" s="27">
        <f t="shared" ref="AG64:AG71" si="65">ROUND(IF(AQ64="2",BI64,0),2)</f>
        <v>0</v>
      </c>
      <c r="AH64" s="27">
        <f t="shared" ref="AH64:AH71" si="66">ROUND(IF(AQ64="0",BJ64,0),2)</f>
        <v>0</v>
      </c>
      <c r="AI64" s="13"/>
      <c r="AJ64" s="27">
        <f t="shared" ref="AJ64:AJ71" si="67">IF(AN64=0,L64,0)</f>
        <v>0</v>
      </c>
      <c r="AK64" s="27">
        <f t="shared" ref="AK64:AK71" si="68">IF(AN64=12,L64,0)</f>
        <v>0</v>
      </c>
      <c r="AL64" s="27">
        <f t="shared" ref="AL64:AL71" si="69">IF(AN64=21,L64,0)</f>
        <v>0</v>
      </c>
      <c r="AN64" s="27">
        <v>12</v>
      </c>
      <c r="AO64" s="27">
        <f>H64*0.196623377</f>
        <v>0</v>
      </c>
      <c r="AP64" s="27">
        <f>H64*(1-0.196623377)</f>
        <v>0</v>
      </c>
      <c r="AQ64" s="30" t="s">
        <v>61</v>
      </c>
      <c r="AV64" s="27">
        <f t="shared" ref="AV64:AV71" si="70">ROUND(AW64+AX64,2)</f>
        <v>0</v>
      </c>
      <c r="AW64" s="27">
        <f t="shared" ref="AW64:AW71" si="71">ROUND(G64*AO64,2)</f>
        <v>0</v>
      </c>
      <c r="AX64" s="27">
        <f t="shared" ref="AX64:AX71" si="72">ROUND(G64*AP64,2)</f>
        <v>0</v>
      </c>
      <c r="AY64" s="30" t="s">
        <v>222</v>
      </c>
      <c r="AZ64" s="30" t="s">
        <v>89</v>
      </c>
      <c r="BA64" s="13" t="s">
        <v>64</v>
      </c>
      <c r="BC64" s="27">
        <f t="shared" ref="BC64:BC71" si="73">AW64+AX64</f>
        <v>0</v>
      </c>
      <c r="BD64" s="27">
        <f t="shared" ref="BD64:BD71" si="74">H64/(100-BE64)*100</f>
        <v>0</v>
      </c>
      <c r="BE64" s="27">
        <v>0</v>
      </c>
      <c r="BF64" s="27">
        <f t="shared" ref="BF64:BF71" si="75">O64</f>
        <v>4.8300000000000003E-2</v>
      </c>
      <c r="BH64" s="27">
        <f t="shared" ref="BH64:BH71" si="76">G64*AO64</f>
        <v>0</v>
      </c>
      <c r="BI64" s="27">
        <f t="shared" ref="BI64:BI71" si="77">G64*AP64</f>
        <v>0</v>
      </c>
      <c r="BJ64" s="27">
        <f t="shared" ref="BJ64:BJ71" si="78">G64*H64</f>
        <v>0</v>
      </c>
      <c r="BK64" s="27"/>
      <c r="BL64" s="27">
        <v>733</v>
      </c>
      <c r="BW64" s="27">
        <f t="shared" ref="BW64:BW71" si="79">I64</f>
        <v>12</v>
      </c>
      <c r="BX64" s="4" t="s">
        <v>221</v>
      </c>
    </row>
    <row r="65" spans="1:76" ht="15" customHeight="1">
      <c r="A65" s="26" t="s">
        <v>223</v>
      </c>
      <c r="B65" s="3"/>
      <c r="C65" s="3" t="s">
        <v>224</v>
      </c>
      <c r="D65" s="58" t="s">
        <v>225</v>
      </c>
      <c r="E65" s="58"/>
      <c r="F65" s="3" t="s">
        <v>70</v>
      </c>
      <c r="G65" s="27">
        <v>20</v>
      </c>
      <c r="H65" s="27"/>
      <c r="I65" s="28">
        <v>12</v>
      </c>
      <c r="J65" s="27">
        <f t="shared" si="54"/>
        <v>0</v>
      </c>
      <c r="K65" s="27">
        <f t="shared" si="55"/>
        <v>0</v>
      </c>
      <c r="L65" s="27">
        <f t="shared" si="56"/>
        <v>0</v>
      </c>
      <c r="M65" s="27">
        <f t="shared" si="57"/>
        <v>0</v>
      </c>
      <c r="N65" s="27">
        <v>5.3699999999999998E-3</v>
      </c>
      <c r="O65" s="27">
        <f t="shared" si="58"/>
        <v>0.1074</v>
      </c>
      <c r="P65" s="29" t="s">
        <v>60</v>
      </c>
      <c r="Z65" s="27">
        <f t="shared" si="59"/>
        <v>0</v>
      </c>
      <c r="AB65" s="27">
        <f t="shared" si="60"/>
        <v>0</v>
      </c>
      <c r="AC65" s="27">
        <f t="shared" si="61"/>
        <v>0</v>
      </c>
      <c r="AD65" s="27">
        <f t="shared" si="62"/>
        <v>0</v>
      </c>
      <c r="AE65" s="27">
        <f t="shared" si="63"/>
        <v>0</v>
      </c>
      <c r="AF65" s="27">
        <f t="shared" si="64"/>
        <v>0</v>
      </c>
      <c r="AG65" s="27">
        <f t="shared" si="65"/>
        <v>0</v>
      </c>
      <c r="AH65" s="27">
        <f t="shared" si="66"/>
        <v>0</v>
      </c>
      <c r="AI65" s="13"/>
      <c r="AJ65" s="27">
        <f t="shared" si="67"/>
        <v>0</v>
      </c>
      <c r="AK65" s="27">
        <f t="shared" si="68"/>
        <v>0</v>
      </c>
      <c r="AL65" s="27">
        <f t="shared" si="69"/>
        <v>0</v>
      </c>
      <c r="AN65" s="27">
        <v>12</v>
      </c>
      <c r="AO65" s="27">
        <f>H65*0.252801993</f>
        <v>0</v>
      </c>
      <c r="AP65" s="27">
        <f>H65*(1-0.252801993)</f>
        <v>0</v>
      </c>
      <c r="AQ65" s="30" t="s">
        <v>61</v>
      </c>
      <c r="AV65" s="27">
        <f t="shared" si="70"/>
        <v>0</v>
      </c>
      <c r="AW65" s="27">
        <f t="shared" si="71"/>
        <v>0</v>
      </c>
      <c r="AX65" s="27">
        <f t="shared" si="72"/>
        <v>0</v>
      </c>
      <c r="AY65" s="30" t="s">
        <v>222</v>
      </c>
      <c r="AZ65" s="30" t="s">
        <v>89</v>
      </c>
      <c r="BA65" s="13" t="s">
        <v>64</v>
      </c>
      <c r="BC65" s="27">
        <f t="shared" si="73"/>
        <v>0</v>
      </c>
      <c r="BD65" s="27">
        <f t="shared" si="74"/>
        <v>0</v>
      </c>
      <c r="BE65" s="27">
        <v>0</v>
      </c>
      <c r="BF65" s="27">
        <f t="shared" si="75"/>
        <v>0.1074</v>
      </c>
      <c r="BH65" s="27">
        <f t="shared" si="76"/>
        <v>0</v>
      </c>
      <c r="BI65" s="27">
        <f t="shared" si="77"/>
        <v>0</v>
      </c>
      <c r="BJ65" s="27">
        <f t="shared" si="78"/>
        <v>0</v>
      </c>
      <c r="BK65" s="27"/>
      <c r="BL65" s="27">
        <v>733</v>
      </c>
      <c r="BW65" s="27">
        <f t="shared" si="79"/>
        <v>12</v>
      </c>
      <c r="BX65" s="4" t="s">
        <v>225</v>
      </c>
    </row>
    <row r="66" spans="1:76" ht="15" customHeight="1">
      <c r="A66" s="26" t="s">
        <v>226</v>
      </c>
      <c r="B66" s="3"/>
      <c r="C66" s="3" t="s">
        <v>227</v>
      </c>
      <c r="D66" s="58" t="s">
        <v>228</v>
      </c>
      <c r="E66" s="58"/>
      <c r="F66" s="3" t="s">
        <v>70</v>
      </c>
      <c r="G66" s="27">
        <v>10</v>
      </c>
      <c r="H66" s="27"/>
      <c r="I66" s="28">
        <v>12</v>
      </c>
      <c r="J66" s="27">
        <f t="shared" si="54"/>
        <v>0</v>
      </c>
      <c r="K66" s="27">
        <f t="shared" si="55"/>
        <v>0</v>
      </c>
      <c r="L66" s="27">
        <f t="shared" si="56"/>
        <v>0</v>
      </c>
      <c r="M66" s="27">
        <f t="shared" si="57"/>
        <v>0</v>
      </c>
      <c r="N66" s="27">
        <v>8.6700000000000006E-3</v>
      </c>
      <c r="O66" s="27">
        <f t="shared" si="58"/>
        <v>8.6699999999999999E-2</v>
      </c>
      <c r="P66" s="29" t="s">
        <v>60</v>
      </c>
      <c r="Z66" s="27">
        <f t="shared" si="59"/>
        <v>0</v>
      </c>
      <c r="AB66" s="27">
        <f t="shared" si="60"/>
        <v>0</v>
      </c>
      <c r="AC66" s="27">
        <f t="shared" si="61"/>
        <v>0</v>
      </c>
      <c r="AD66" s="27">
        <f t="shared" si="62"/>
        <v>0</v>
      </c>
      <c r="AE66" s="27">
        <f t="shared" si="63"/>
        <v>0</v>
      </c>
      <c r="AF66" s="27">
        <f t="shared" si="64"/>
        <v>0</v>
      </c>
      <c r="AG66" s="27">
        <f t="shared" si="65"/>
        <v>0</v>
      </c>
      <c r="AH66" s="27">
        <f t="shared" si="66"/>
        <v>0</v>
      </c>
      <c r="AI66" s="13"/>
      <c r="AJ66" s="27">
        <f t="shared" si="67"/>
        <v>0</v>
      </c>
      <c r="AK66" s="27">
        <f t="shared" si="68"/>
        <v>0</v>
      </c>
      <c r="AL66" s="27">
        <f t="shared" si="69"/>
        <v>0</v>
      </c>
      <c r="AN66" s="27">
        <v>12</v>
      </c>
      <c r="AO66" s="27">
        <f>H66*0.390752033</f>
        <v>0</v>
      </c>
      <c r="AP66" s="27">
        <f>H66*(1-0.390752033)</f>
        <v>0</v>
      </c>
      <c r="AQ66" s="30" t="s">
        <v>61</v>
      </c>
      <c r="AV66" s="27">
        <f t="shared" si="70"/>
        <v>0</v>
      </c>
      <c r="AW66" s="27">
        <f t="shared" si="71"/>
        <v>0</v>
      </c>
      <c r="AX66" s="27">
        <f t="shared" si="72"/>
        <v>0</v>
      </c>
      <c r="AY66" s="30" t="s">
        <v>222</v>
      </c>
      <c r="AZ66" s="30" t="s">
        <v>89</v>
      </c>
      <c r="BA66" s="13" t="s">
        <v>64</v>
      </c>
      <c r="BC66" s="27">
        <f t="shared" si="73"/>
        <v>0</v>
      </c>
      <c r="BD66" s="27">
        <f t="shared" si="74"/>
        <v>0</v>
      </c>
      <c r="BE66" s="27">
        <v>0</v>
      </c>
      <c r="BF66" s="27">
        <f t="shared" si="75"/>
        <v>8.6699999999999999E-2</v>
      </c>
      <c r="BH66" s="27">
        <f t="shared" si="76"/>
        <v>0</v>
      </c>
      <c r="BI66" s="27">
        <f t="shared" si="77"/>
        <v>0</v>
      </c>
      <c r="BJ66" s="27">
        <f t="shared" si="78"/>
        <v>0</v>
      </c>
      <c r="BK66" s="27"/>
      <c r="BL66" s="27">
        <v>733</v>
      </c>
      <c r="BW66" s="27">
        <f t="shared" si="79"/>
        <v>12</v>
      </c>
      <c r="BX66" s="4" t="s">
        <v>228</v>
      </c>
    </row>
    <row r="67" spans="1:76" ht="15" customHeight="1">
      <c r="A67" s="26" t="s">
        <v>229</v>
      </c>
      <c r="B67" s="3"/>
      <c r="C67" s="3" t="s">
        <v>230</v>
      </c>
      <c r="D67" s="58" t="s">
        <v>231</v>
      </c>
      <c r="E67" s="58"/>
      <c r="F67" s="3" t="s">
        <v>70</v>
      </c>
      <c r="G67" s="27">
        <v>2</v>
      </c>
      <c r="H67" s="27"/>
      <c r="I67" s="28">
        <v>12</v>
      </c>
      <c r="J67" s="27">
        <f t="shared" si="54"/>
        <v>0</v>
      </c>
      <c r="K67" s="27">
        <f t="shared" si="55"/>
        <v>0</v>
      </c>
      <c r="L67" s="27">
        <f t="shared" si="56"/>
        <v>0</v>
      </c>
      <c r="M67" s="27">
        <f t="shared" si="57"/>
        <v>0</v>
      </c>
      <c r="N67" s="27">
        <v>5.7400000000000003E-3</v>
      </c>
      <c r="O67" s="27">
        <f t="shared" si="58"/>
        <v>1.1480000000000001E-2</v>
      </c>
      <c r="P67" s="29" t="s">
        <v>60</v>
      </c>
      <c r="Z67" s="27">
        <f t="shared" si="59"/>
        <v>0</v>
      </c>
      <c r="AB67" s="27">
        <f t="shared" si="60"/>
        <v>0</v>
      </c>
      <c r="AC67" s="27">
        <f t="shared" si="61"/>
        <v>0</v>
      </c>
      <c r="AD67" s="27">
        <f t="shared" si="62"/>
        <v>0</v>
      </c>
      <c r="AE67" s="27">
        <f t="shared" si="63"/>
        <v>0</v>
      </c>
      <c r="AF67" s="27">
        <f t="shared" si="64"/>
        <v>0</v>
      </c>
      <c r="AG67" s="27">
        <f t="shared" si="65"/>
        <v>0</v>
      </c>
      <c r="AH67" s="27">
        <f t="shared" si="66"/>
        <v>0</v>
      </c>
      <c r="AI67" s="13"/>
      <c r="AJ67" s="27">
        <f t="shared" si="67"/>
        <v>0</v>
      </c>
      <c r="AK67" s="27">
        <f t="shared" si="68"/>
        <v>0</v>
      </c>
      <c r="AL67" s="27">
        <f t="shared" si="69"/>
        <v>0</v>
      </c>
      <c r="AN67" s="27">
        <v>12</v>
      </c>
      <c r="AO67" s="27">
        <f>H67*0.363566215</f>
        <v>0</v>
      </c>
      <c r="AP67" s="27">
        <f>H67*(1-0.363566215)</f>
        <v>0</v>
      </c>
      <c r="AQ67" s="30" t="s">
        <v>61</v>
      </c>
      <c r="AV67" s="27">
        <f t="shared" si="70"/>
        <v>0</v>
      </c>
      <c r="AW67" s="27">
        <f t="shared" si="71"/>
        <v>0</v>
      </c>
      <c r="AX67" s="27">
        <f t="shared" si="72"/>
        <v>0</v>
      </c>
      <c r="AY67" s="30" t="s">
        <v>222</v>
      </c>
      <c r="AZ67" s="30" t="s">
        <v>89</v>
      </c>
      <c r="BA67" s="13" t="s">
        <v>64</v>
      </c>
      <c r="BC67" s="27">
        <f t="shared" si="73"/>
        <v>0</v>
      </c>
      <c r="BD67" s="27">
        <f t="shared" si="74"/>
        <v>0</v>
      </c>
      <c r="BE67" s="27">
        <v>0</v>
      </c>
      <c r="BF67" s="27">
        <f t="shared" si="75"/>
        <v>1.1480000000000001E-2</v>
      </c>
      <c r="BH67" s="27">
        <f t="shared" si="76"/>
        <v>0</v>
      </c>
      <c r="BI67" s="27">
        <f t="shared" si="77"/>
        <v>0</v>
      </c>
      <c r="BJ67" s="27">
        <f t="shared" si="78"/>
        <v>0</v>
      </c>
      <c r="BK67" s="27"/>
      <c r="BL67" s="27">
        <v>733</v>
      </c>
      <c r="BW67" s="27">
        <f t="shared" si="79"/>
        <v>12</v>
      </c>
      <c r="BX67" s="4" t="s">
        <v>231</v>
      </c>
    </row>
    <row r="68" spans="1:76" ht="15" customHeight="1">
      <c r="A68" s="26" t="s">
        <v>232</v>
      </c>
      <c r="B68" s="3"/>
      <c r="C68" s="3" t="s">
        <v>233</v>
      </c>
      <c r="D68" s="58" t="s">
        <v>234</v>
      </c>
      <c r="E68" s="58"/>
      <c r="F68" s="3" t="s">
        <v>70</v>
      </c>
      <c r="G68" s="27">
        <v>13</v>
      </c>
      <c r="H68" s="27"/>
      <c r="I68" s="28">
        <v>12</v>
      </c>
      <c r="J68" s="27">
        <f t="shared" si="54"/>
        <v>0</v>
      </c>
      <c r="K68" s="27">
        <f t="shared" si="55"/>
        <v>0</v>
      </c>
      <c r="L68" s="27">
        <f t="shared" si="56"/>
        <v>0</v>
      </c>
      <c r="M68" s="27">
        <f t="shared" si="57"/>
        <v>0</v>
      </c>
      <c r="N68" s="27">
        <v>6.9800000000000001E-3</v>
      </c>
      <c r="O68" s="27">
        <f t="shared" si="58"/>
        <v>9.0740000000000001E-2</v>
      </c>
      <c r="P68" s="29" t="s">
        <v>60</v>
      </c>
      <c r="Z68" s="27">
        <f t="shared" si="59"/>
        <v>0</v>
      </c>
      <c r="AB68" s="27">
        <f t="shared" si="60"/>
        <v>0</v>
      </c>
      <c r="AC68" s="27">
        <f t="shared" si="61"/>
        <v>0</v>
      </c>
      <c r="AD68" s="27">
        <f t="shared" si="62"/>
        <v>0</v>
      </c>
      <c r="AE68" s="27">
        <f t="shared" si="63"/>
        <v>0</v>
      </c>
      <c r="AF68" s="27">
        <f t="shared" si="64"/>
        <v>0</v>
      </c>
      <c r="AG68" s="27">
        <f t="shared" si="65"/>
        <v>0</v>
      </c>
      <c r="AH68" s="27">
        <f t="shared" si="66"/>
        <v>0</v>
      </c>
      <c r="AI68" s="13"/>
      <c r="AJ68" s="27">
        <f t="shared" si="67"/>
        <v>0</v>
      </c>
      <c r="AK68" s="27">
        <f t="shared" si="68"/>
        <v>0</v>
      </c>
      <c r="AL68" s="27">
        <f t="shared" si="69"/>
        <v>0</v>
      </c>
      <c r="AN68" s="27">
        <v>12</v>
      </c>
      <c r="AO68" s="27">
        <f>H68*0.409897442</f>
        <v>0</v>
      </c>
      <c r="AP68" s="27">
        <f>H68*(1-0.409897442)</f>
        <v>0</v>
      </c>
      <c r="AQ68" s="30" t="s">
        <v>61</v>
      </c>
      <c r="AV68" s="27">
        <f t="shared" si="70"/>
        <v>0</v>
      </c>
      <c r="AW68" s="27">
        <f t="shared" si="71"/>
        <v>0</v>
      </c>
      <c r="AX68" s="27">
        <f t="shared" si="72"/>
        <v>0</v>
      </c>
      <c r="AY68" s="30" t="s">
        <v>222</v>
      </c>
      <c r="AZ68" s="30" t="s">
        <v>89</v>
      </c>
      <c r="BA68" s="13" t="s">
        <v>64</v>
      </c>
      <c r="BC68" s="27">
        <f t="shared" si="73"/>
        <v>0</v>
      </c>
      <c r="BD68" s="27">
        <f t="shared" si="74"/>
        <v>0</v>
      </c>
      <c r="BE68" s="27">
        <v>0</v>
      </c>
      <c r="BF68" s="27">
        <f t="shared" si="75"/>
        <v>9.0740000000000001E-2</v>
      </c>
      <c r="BH68" s="27">
        <f t="shared" si="76"/>
        <v>0</v>
      </c>
      <c r="BI68" s="27">
        <f t="shared" si="77"/>
        <v>0</v>
      </c>
      <c r="BJ68" s="27">
        <f t="shared" si="78"/>
        <v>0</v>
      </c>
      <c r="BK68" s="27"/>
      <c r="BL68" s="27">
        <v>733</v>
      </c>
      <c r="BW68" s="27">
        <f t="shared" si="79"/>
        <v>12</v>
      </c>
      <c r="BX68" s="4" t="s">
        <v>234</v>
      </c>
    </row>
    <row r="69" spans="1:76" ht="15" customHeight="1">
      <c r="A69" s="26" t="s">
        <v>235</v>
      </c>
      <c r="B69" s="3"/>
      <c r="C69" s="3" t="s">
        <v>236</v>
      </c>
      <c r="D69" s="58" t="s">
        <v>237</v>
      </c>
      <c r="E69" s="58"/>
      <c r="F69" s="3" t="s">
        <v>70</v>
      </c>
      <c r="G69" s="27">
        <v>5</v>
      </c>
      <c r="H69" s="27"/>
      <c r="I69" s="28">
        <v>12</v>
      </c>
      <c r="J69" s="27">
        <f t="shared" si="54"/>
        <v>0</v>
      </c>
      <c r="K69" s="27">
        <f t="shared" si="55"/>
        <v>0</v>
      </c>
      <c r="L69" s="27">
        <f t="shared" si="56"/>
        <v>0</v>
      </c>
      <c r="M69" s="27">
        <f t="shared" si="57"/>
        <v>0</v>
      </c>
      <c r="N69" s="27">
        <v>7.7799999999999996E-3</v>
      </c>
      <c r="O69" s="27">
        <f t="shared" si="58"/>
        <v>3.8899999999999997E-2</v>
      </c>
      <c r="P69" s="29" t="s">
        <v>60</v>
      </c>
      <c r="Z69" s="27">
        <f t="shared" si="59"/>
        <v>0</v>
      </c>
      <c r="AB69" s="27">
        <f t="shared" si="60"/>
        <v>0</v>
      </c>
      <c r="AC69" s="27">
        <f t="shared" si="61"/>
        <v>0</v>
      </c>
      <c r="AD69" s="27">
        <f t="shared" si="62"/>
        <v>0</v>
      </c>
      <c r="AE69" s="27">
        <f t="shared" si="63"/>
        <v>0</v>
      </c>
      <c r="AF69" s="27">
        <f t="shared" si="64"/>
        <v>0</v>
      </c>
      <c r="AG69" s="27">
        <f t="shared" si="65"/>
        <v>0</v>
      </c>
      <c r="AH69" s="27">
        <f t="shared" si="66"/>
        <v>0</v>
      </c>
      <c r="AI69" s="13"/>
      <c r="AJ69" s="27">
        <f t="shared" si="67"/>
        <v>0</v>
      </c>
      <c r="AK69" s="27">
        <f t="shared" si="68"/>
        <v>0</v>
      </c>
      <c r="AL69" s="27">
        <f t="shared" si="69"/>
        <v>0</v>
      </c>
      <c r="AN69" s="27">
        <v>12</v>
      </c>
      <c r="AO69" s="27">
        <f>H69*0.426583851</f>
        <v>0</v>
      </c>
      <c r="AP69" s="27">
        <f>H69*(1-0.426583851)</f>
        <v>0</v>
      </c>
      <c r="AQ69" s="30" t="s">
        <v>61</v>
      </c>
      <c r="AV69" s="27">
        <f t="shared" si="70"/>
        <v>0</v>
      </c>
      <c r="AW69" s="27">
        <f t="shared" si="71"/>
        <v>0</v>
      </c>
      <c r="AX69" s="27">
        <f t="shared" si="72"/>
        <v>0</v>
      </c>
      <c r="AY69" s="30" t="s">
        <v>222</v>
      </c>
      <c r="AZ69" s="30" t="s">
        <v>89</v>
      </c>
      <c r="BA69" s="13" t="s">
        <v>64</v>
      </c>
      <c r="BC69" s="27">
        <f t="shared" si="73"/>
        <v>0</v>
      </c>
      <c r="BD69" s="27">
        <f t="shared" si="74"/>
        <v>0</v>
      </c>
      <c r="BE69" s="27">
        <v>0</v>
      </c>
      <c r="BF69" s="27">
        <f t="shared" si="75"/>
        <v>3.8899999999999997E-2</v>
      </c>
      <c r="BH69" s="27">
        <f t="shared" si="76"/>
        <v>0</v>
      </c>
      <c r="BI69" s="27">
        <f t="shared" si="77"/>
        <v>0</v>
      </c>
      <c r="BJ69" s="27">
        <f t="shared" si="78"/>
        <v>0</v>
      </c>
      <c r="BK69" s="27"/>
      <c r="BL69" s="27">
        <v>733</v>
      </c>
      <c r="BW69" s="27">
        <f t="shared" si="79"/>
        <v>12</v>
      </c>
      <c r="BX69" s="4" t="s">
        <v>237</v>
      </c>
    </row>
    <row r="70" spans="1:76" ht="15" customHeight="1">
      <c r="A70" s="26" t="s">
        <v>238</v>
      </c>
      <c r="B70" s="3"/>
      <c r="C70" s="3" t="s">
        <v>239</v>
      </c>
      <c r="D70" s="58" t="s">
        <v>240</v>
      </c>
      <c r="E70" s="58"/>
      <c r="F70" s="3" t="s">
        <v>70</v>
      </c>
      <c r="G70" s="27">
        <v>10</v>
      </c>
      <c r="H70" s="27"/>
      <c r="I70" s="28">
        <v>12</v>
      </c>
      <c r="J70" s="27">
        <f t="shared" si="54"/>
        <v>0</v>
      </c>
      <c r="K70" s="27">
        <f t="shared" si="55"/>
        <v>0</v>
      </c>
      <c r="L70" s="27">
        <f t="shared" si="56"/>
        <v>0</v>
      </c>
      <c r="M70" s="27">
        <f t="shared" si="57"/>
        <v>0</v>
      </c>
      <c r="N70" s="27">
        <v>9.9900000000000006E-3</v>
      </c>
      <c r="O70" s="27">
        <f t="shared" si="58"/>
        <v>9.9900000000000003E-2</v>
      </c>
      <c r="P70" s="29" t="s">
        <v>60</v>
      </c>
      <c r="Z70" s="27">
        <f t="shared" si="59"/>
        <v>0</v>
      </c>
      <c r="AB70" s="27">
        <f t="shared" si="60"/>
        <v>0</v>
      </c>
      <c r="AC70" s="27">
        <f t="shared" si="61"/>
        <v>0</v>
      </c>
      <c r="AD70" s="27">
        <f t="shared" si="62"/>
        <v>0</v>
      </c>
      <c r="AE70" s="27">
        <f t="shared" si="63"/>
        <v>0</v>
      </c>
      <c r="AF70" s="27">
        <f t="shared" si="64"/>
        <v>0</v>
      </c>
      <c r="AG70" s="27">
        <f t="shared" si="65"/>
        <v>0</v>
      </c>
      <c r="AH70" s="27">
        <f t="shared" si="66"/>
        <v>0</v>
      </c>
      <c r="AI70" s="13"/>
      <c r="AJ70" s="27">
        <f t="shared" si="67"/>
        <v>0</v>
      </c>
      <c r="AK70" s="27">
        <f t="shared" si="68"/>
        <v>0</v>
      </c>
      <c r="AL70" s="27">
        <f t="shared" si="69"/>
        <v>0</v>
      </c>
      <c r="AN70" s="27">
        <v>12</v>
      </c>
      <c r="AO70" s="27">
        <f>H70*0.52636833</f>
        <v>0</v>
      </c>
      <c r="AP70" s="27">
        <f>H70*(1-0.52636833)</f>
        <v>0</v>
      </c>
      <c r="AQ70" s="30" t="s">
        <v>61</v>
      </c>
      <c r="AV70" s="27">
        <f t="shared" si="70"/>
        <v>0</v>
      </c>
      <c r="AW70" s="27">
        <f t="shared" si="71"/>
        <v>0</v>
      </c>
      <c r="AX70" s="27">
        <f t="shared" si="72"/>
        <v>0</v>
      </c>
      <c r="AY70" s="30" t="s">
        <v>222</v>
      </c>
      <c r="AZ70" s="30" t="s">
        <v>89</v>
      </c>
      <c r="BA70" s="13" t="s">
        <v>64</v>
      </c>
      <c r="BC70" s="27">
        <f t="shared" si="73"/>
        <v>0</v>
      </c>
      <c r="BD70" s="27">
        <f t="shared" si="74"/>
        <v>0</v>
      </c>
      <c r="BE70" s="27">
        <v>0</v>
      </c>
      <c r="BF70" s="27">
        <f t="shared" si="75"/>
        <v>9.9900000000000003E-2</v>
      </c>
      <c r="BH70" s="27">
        <f t="shared" si="76"/>
        <v>0</v>
      </c>
      <c r="BI70" s="27">
        <f t="shared" si="77"/>
        <v>0</v>
      </c>
      <c r="BJ70" s="27">
        <f t="shared" si="78"/>
        <v>0</v>
      </c>
      <c r="BK70" s="27"/>
      <c r="BL70" s="27">
        <v>733</v>
      </c>
      <c r="BW70" s="27">
        <f t="shared" si="79"/>
        <v>12</v>
      </c>
      <c r="BX70" s="4" t="s">
        <v>240</v>
      </c>
    </row>
    <row r="71" spans="1:76" ht="15" customHeight="1">
      <c r="A71" s="26" t="s">
        <v>241</v>
      </c>
      <c r="B71" s="3"/>
      <c r="C71" s="3" t="s">
        <v>242</v>
      </c>
      <c r="D71" s="58" t="s">
        <v>243</v>
      </c>
      <c r="E71" s="58"/>
      <c r="F71" s="3" t="s">
        <v>87</v>
      </c>
      <c r="G71" s="27">
        <v>2</v>
      </c>
      <c r="H71" s="27"/>
      <c r="I71" s="28">
        <v>12</v>
      </c>
      <c r="J71" s="27">
        <f t="shared" si="54"/>
        <v>0</v>
      </c>
      <c r="K71" s="27">
        <f t="shared" si="55"/>
        <v>0</v>
      </c>
      <c r="L71" s="27">
        <f t="shared" si="56"/>
        <v>0</v>
      </c>
      <c r="M71" s="27">
        <f t="shared" si="57"/>
        <v>0</v>
      </c>
      <c r="N71" s="27">
        <v>1.7799999999999999E-3</v>
      </c>
      <c r="O71" s="27">
        <f t="shared" si="58"/>
        <v>3.5599999999999998E-3</v>
      </c>
      <c r="P71" s="29" t="s">
        <v>60</v>
      </c>
      <c r="Z71" s="27">
        <f t="shared" si="59"/>
        <v>0</v>
      </c>
      <c r="AB71" s="27">
        <f t="shared" si="60"/>
        <v>0</v>
      </c>
      <c r="AC71" s="27">
        <f t="shared" si="61"/>
        <v>0</v>
      </c>
      <c r="AD71" s="27">
        <f t="shared" si="62"/>
        <v>0</v>
      </c>
      <c r="AE71" s="27">
        <f t="shared" si="63"/>
        <v>0</v>
      </c>
      <c r="AF71" s="27">
        <f t="shared" si="64"/>
        <v>0</v>
      </c>
      <c r="AG71" s="27">
        <f t="shared" si="65"/>
        <v>0</v>
      </c>
      <c r="AH71" s="27">
        <f t="shared" si="66"/>
        <v>0</v>
      </c>
      <c r="AI71" s="13"/>
      <c r="AJ71" s="27">
        <f t="shared" si="67"/>
        <v>0</v>
      </c>
      <c r="AK71" s="27">
        <f t="shared" si="68"/>
        <v>0</v>
      </c>
      <c r="AL71" s="27">
        <f t="shared" si="69"/>
        <v>0</v>
      </c>
      <c r="AN71" s="27">
        <v>12</v>
      </c>
      <c r="AO71" s="27">
        <f>H71*0.48290082</f>
        <v>0</v>
      </c>
      <c r="AP71" s="27">
        <f>H71*(1-0.48290082)</f>
        <v>0</v>
      </c>
      <c r="AQ71" s="30" t="s">
        <v>61</v>
      </c>
      <c r="AV71" s="27">
        <f t="shared" si="70"/>
        <v>0</v>
      </c>
      <c r="AW71" s="27">
        <f t="shared" si="71"/>
        <v>0</v>
      </c>
      <c r="AX71" s="27">
        <f t="shared" si="72"/>
        <v>0</v>
      </c>
      <c r="AY71" s="30" t="s">
        <v>222</v>
      </c>
      <c r="AZ71" s="30" t="s">
        <v>89</v>
      </c>
      <c r="BA71" s="13" t="s">
        <v>64</v>
      </c>
      <c r="BC71" s="27">
        <f t="shared" si="73"/>
        <v>0</v>
      </c>
      <c r="BD71" s="27">
        <f t="shared" si="74"/>
        <v>0</v>
      </c>
      <c r="BE71" s="27">
        <v>0</v>
      </c>
      <c r="BF71" s="27">
        <f t="shared" si="75"/>
        <v>3.5599999999999998E-3</v>
      </c>
      <c r="BH71" s="27">
        <f t="shared" si="76"/>
        <v>0</v>
      </c>
      <c r="BI71" s="27">
        <f t="shared" si="77"/>
        <v>0</v>
      </c>
      <c r="BJ71" s="27">
        <f t="shared" si="78"/>
        <v>0</v>
      </c>
      <c r="BK71" s="27"/>
      <c r="BL71" s="27">
        <v>733</v>
      </c>
      <c r="BW71" s="27">
        <f t="shared" si="79"/>
        <v>12</v>
      </c>
      <c r="BX71" s="4" t="s">
        <v>243</v>
      </c>
    </row>
    <row r="72" spans="1:76" ht="15" customHeight="1">
      <c r="A72" s="22"/>
      <c r="B72" s="23"/>
      <c r="C72" s="23" t="s">
        <v>244</v>
      </c>
      <c r="D72" s="59" t="s">
        <v>245</v>
      </c>
      <c r="E72" s="59"/>
      <c r="F72" s="24" t="s">
        <v>4</v>
      </c>
      <c r="G72" s="24" t="s">
        <v>4</v>
      </c>
      <c r="H72" s="24"/>
      <c r="I72" s="24" t="s">
        <v>4</v>
      </c>
      <c r="J72" s="6">
        <f>SUM(J73:J92)</f>
        <v>0</v>
      </c>
      <c r="K72" s="6">
        <f>SUM(K73:K92)</f>
        <v>0</v>
      </c>
      <c r="L72" s="6">
        <f>SUM(L73:L92)</f>
        <v>0</v>
      </c>
      <c r="M72" s="6">
        <f>SUM(M73:M92)</f>
        <v>0</v>
      </c>
      <c r="N72" s="13"/>
      <c r="O72" s="6">
        <f>SUM(O73:O92)</f>
        <v>0.10462000000000002</v>
      </c>
      <c r="P72" s="25"/>
      <c r="AI72" s="13"/>
      <c r="AS72" s="6">
        <f>SUM(AJ73:AJ92)</f>
        <v>0</v>
      </c>
      <c r="AT72" s="6">
        <f>SUM(AK73:AK92)</f>
        <v>0</v>
      </c>
      <c r="AU72" s="6">
        <f>SUM(AL73:AL92)</f>
        <v>0</v>
      </c>
    </row>
    <row r="73" spans="1:76" ht="15" customHeight="1">
      <c r="A73" s="26" t="s">
        <v>246</v>
      </c>
      <c r="B73" s="3"/>
      <c r="C73" s="3" t="s">
        <v>247</v>
      </c>
      <c r="D73" s="58" t="s">
        <v>248</v>
      </c>
      <c r="E73" s="58"/>
      <c r="F73" s="3" t="s">
        <v>92</v>
      </c>
      <c r="G73" s="27">
        <v>1</v>
      </c>
      <c r="H73" s="27"/>
      <c r="I73" s="28">
        <v>12</v>
      </c>
      <c r="J73" s="27">
        <f t="shared" ref="J73:J92" si="80">ROUND(G73*AO73,2)</f>
        <v>0</v>
      </c>
      <c r="K73" s="27">
        <f t="shared" ref="K73:K92" si="81">ROUND(G73*AP73,2)</f>
        <v>0</v>
      </c>
      <c r="L73" s="27">
        <f t="shared" ref="L73:L92" si="82">ROUND(G73*H73,2)</f>
        <v>0</v>
      </c>
      <c r="M73" s="27">
        <f t="shared" ref="M73:M92" si="83">L73*(1+BW73/100)</f>
        <v>0</v>
      </c>
      <c r="N73" s="27">
        <v>0</v>
      </c>
      <c r="O73" s="27">
        <f t="shared" ref="O73:O92" si="84">G73*N73</f>
        <v>0</v>
      </c>
      <c r="P73" s="29"/>
      <c r="Z73" s="27">
        <f t="shared" ref="Z73:Z92" si="85">ROUND(IF(AQ73="5",BJ73,0),2)</f>
        <v>0</v>
      </c>
      <c r="AB73" s="27">
        <f t="shared" ref="AB73:AB92" si="86">ROUND(IF(AQ73="1",BH73,0),2)</f>
        <v>0</v>
      </c>
      <c r="AC73" s="27">
        <f t="shared" ref="AC73:AC92" si="87">ROUND(IF(AQ73="1",BI73,0),2)</f>
        <v>0</v>
      </c>
      <c r="AD73" s="27">
        <f t="shared" ref="AD73:AD92" si="88">ROUND(IF(AQ73="7",BH73,0),2)</f>
        <v>0</v>
      </c>
      <c r="AE73" s="27">
        <f t="shared" ref="AE73:AE92" si="89">ROUND(IF(AQ73="7",BI73,0),2)</f>
        <v>0</v>
      </c>
      <c r="AF73" s="27">
        <f t="shared" ref="AF73:AF92" si="90">ROUND(IF(AQ73="2",BH73,0),2)</f>
        <v>0</v>
      </c>
      <c r="AG73" s="27">
        <f t="shared" ref="AG73:AG92" si="91">ROUND(IF(AQ73="2",BI73,0),2)</f>
        <v>0</v>
      </c>
      <c r="AH73" s="27">
        <f t="shared" ref="AH73:AH92" si="92">ROUND(IF(AQ73="0",BJ73,0),2)</f>
        <v>0</v>
      </c>
      <c r="AI73" s="13"/>
      <c r="AJ73" s="27">
        <f t="shared" ref="AJ73:AJ92" si="93">IF(AN73=0,L73,0)</f>
        <v>0</v>
      </c>
      <c r="AK73" s="27">
        <f t="shared" ref="AK73:AK92" si="94">IF(AN73=12,L73,0)</f>
        <v>0</v>
      </c>
      <c r="AL73" s="27">
        <f t="shared" ref="AL73:AL92" si="95">IF(AN73=21,L73,0)</f>
        <v>0</v>
      </c>
      <c r="AN73" s="27">
        <v>12</v>
      </c>
      <c r="AO73" s="27">
        <f>H73*1</f>
        <v>0</v>
      </c>
      <c r="AP73" s="27">
        <f>H73*(1-1)</f>
        <v>0</v>
      </c>
      <c r="AQ73" s="30" t="s">
        <v>61</v>
      </c>
      <c r="AV73" s="27">
        <f t="shared" ref="AV73:AV92" si="96">ROUND(AW73+AX73,2)</f>
        <v>0</v>
      </c>
      <c r="AW73" s="27">
        <f t="shared" ref="AW73:AW92" si="97">ROUND(G73*AO73,2)</f>
        <v>0</v>
      </c>
      <c r="AX73" s="27">
        <f t="shared" ref="AX73:AX92" si="98">ROUND(G73*AP73,2)</f>
        <v>0</v>
      </c>
      <c r="AY73" s="30" t="s">
        <v>249</v>
      </c>
      <c r="AZ73" s="30" t="s">
        <v>89</v>
      </c>
      <c r="BA73" s="13" t="s">
        <v>64</v>
      </c>
      <c r="BC73" s="27">
        <f t="shared" ref="BC73:BC92" si="99">AW73+AX73</f>
        <v>0</v>
      </c>
      <c r="BD73" s="27">
        <f t="shared" ref="BD73:BD92" si="100">H73/(100-BE73)*100</f>
        <v>0</v>
      </c>
      <c r="BE73" s="27">
        <v>0</v>
      </c>
      <c r="BF73" s="27">
        <f t="shared" ref="BF73:BF92" si="101">O73</f>
        <v>0</v>
      </c>
      <c r="BH73" s="27">
        <f t="shared" ref="BH73:BH92" si="102">G73*AO73</f>
        <v>0</v>
      </c>
      <c r="BI73" s="27">
        <f t="shared" ref="BI73:BI92" si="103">G73*AP73</f>
        <v>0</v>
      </c>
      <c r="BJ73" s="27">
        <f t="shared" ref="BJ73:BJ92" si="104">G73*H73</f>
        <v>0</v>
      </c>
      <c r="BK73" s="27"/>
      <c r="BL73" s="27">
        <v>734</v>
      </c>
      <c r="BW73" s="27">
        <f t="shared" ref="BW73:BW92" si="105">I73</f>
        <v>12</v>
      </c>
      <c r="BX73" s="4" t="s">
        <v>248</v>
      </c>
    </row>
    <row r="74" spans="1:76" ht="15" customHeight="1">
      <c r="A74" s="26" t="s">
        <v>250</v>
      </c>
      <c r="B74" s="3"/>
      <c r="C74" s="3" t="s">
        <v>251</v>
      </c>
      <c r="D74" s="58" t="s">
        <v>252</v>
      </c>
      <c r="E74" s="58"/>
      <c r="F74" s="3" t="s">
        <v>92</v>
      </c>
      <c r="G74" s="27">
        <v>1</v>
      </c>
      <c r="H74" s="27"/>
      <c r="I74" s="28">
        <v>12</v>
      </c>
      <c r="J74" s="27">
        <f t="shared" si="80"/>
        <v>0</v>
      </c>
      <c r="K74" s="27">
        <f t="shared" si="81"/>
        <v>0</v>
      </c>
      <c r="L74" s="27">
        <f t="shared" si="82"/>
        <v>0</v>
      </c>
      <c r="M74" s="27">
        <f t="shared" si="83"/>
        <v>0</v>
      </c>
      <c r="N74" s="27">
        <v>0</v>
      </c>
      <c r="O74" s="27">
        <f t="shared" si="84"/>
        <v>0</v>
      </c>
      <c r="P74" s="29"/>
      <c r="Z74" s="27">
        <f t="shared" si="85"/>
        <v>0</v>
      </c>
      <c r="AB74" s="27">
        <f t="shared" si="86"/>
        <v>0</v>
      </c>
      <c r="AC74" s="27">
        <f t="shared" si="87"/>
        <v>0</v>
      </c>
      <c r="AD74" s="27">
        <f t="shared" si="88"/>
        <v>0</v>
      </c>
      <c r="AE74" s="27">
        <f t="shared" si="89"/>
        <v>0</v>
      </c>
      <c r="AF74" s="27">
        <f t="shared" si="90"/>
        <v>0</v>
      </c>
      <c r="AG74" s="27">
        <f t="shared" si="91"/>
        <v>0</v>
      </c>
      <c r="AH74" s="27">
        <f t="shared" si="92"/>
        <v>0</v>
      </c>
      <c r="AI74" s="13"/>
      <c r="AJ74" s="27">
        <f t="shared" si="93"/>
        <v>0</v>
      </c>
      <c r="AK74" s="27">
        <f t="shared" si="94"/>
        <v>0</v>
      </c>
      <c r="AL74" s="27">
        <f t="shared" si="95"/>
        <v>0</v>
      </c>
      <c r="AN74" s="27">
        <v>12</v>
      </c>
      <c r="AO74" s="27">
        <f>H74*1</f>
        <v>0</v>
      </c>
      <c r="AP74" s="27">
        <f>H74*(1-1)</f>
        <v>0</v>
      </c>
      <c r="AQ74" s="30" t="s">
        <v>61</v>
      </c>
      <c r="AV74" s="27">
        <f t="shared" si="96"/>
        <v>0</v>
      </c>
      <c r="AW74" s="27">
        <f t="shared" si="97"/>
        <v>0</v>
      </c>
      <c r="AX74" s="27">
        <f t="shared" si="98"/>
        <v>0</v>
      </c>
      <c r="AY74" s="30" t="s">
        <v>249</v>
      </c>
      <c r="AZ74" s="30" t="s">
        <v>89</v>
      </c>
      <c r="BA74" s="13" t="s">
        <v>64</v>
      </c>
      <c r="BC74" s="27">
        <f t="shared" si="99"/>
        <v>0</v>
      </c>
      <c r="BD74" s="27">
        <f t="shared" si="100"/>
        <v>0</v>
      </c>
      <c r="BE74" s="27">
        <v>0</v>
      </c>
      <c r="BF74" s="27">
        <f t="shared" si="101"/>
        <v>0</v>
      </c>
      <c r="BH74" s="27">
        <f t="shared" si="102"/>
        <v>0</v>
      </c>
      <c r="BI74" s="27">
        <f t="shared" si="103"/>
        <v>0</v>
      </c>
      <c r="BJ74" s="27">
        <f t="shared" si="104"/>
        <v>0</v>
      </c>
      <c r="BK74" s="27"/>
      <c r="BL74" s="27">
        <v>734</v>
      </c>
      <c r="BW74" s="27">
        <f t="shared" si="105"/>
        <v>12</v>
      </c>
      <c r="BX74" s="4" t="s">
        <v>252</v>
      </c>
    </row>
    <row r="75" spans="1:76" ht="15" customHeight="1">
      <c r="A75" s="26" t="s">
        <v>253</v>
      </c>
      <c r="B75" s="3"/>
      <c r="C75" s="3" t="s">
        <v>254</v>
      </c>
      <c r="D75" s="58" t="s">
        <v>255</v>
      </c>
      <c r="E75" s="58"/>
      <c r="F75" s="3" t="s">
        <v>87</v>
      </c>
      <c r="G75" s="27">
        <v>20</v>
      </c>
      <c r="H75" s="27"/>
      <c r="I75" s="28">
        <v>12</v>
      </c>
      <c r="J75" s="27">
        <f t="shared" si="80"/>
        <v>0</v>
      </c>
      <c r="K75" s="27">
        <f t="shared" si="81"/>
        <v>0</v>
      </c>
      <c r="L75" s="27">
        <f t="shared" si="82"/>
        <v>0</v>
      </c>
      <c r="M75" s="27">
        <f t="shared" si="83"/>
        <v>0</v>
      </c>
      <c r="N75" s="27">
        <v>1.23E-3</v>
      </c>
      <c r="O75" s="27">
        <f t="shared" si="84"/>
        <v>2.46E-2</v>
      </c>
      <c r="P75" s="29" t="s">
        <v>60</v>
      </c>
      <c r="Z75" s="27">
        <f t="shared" si="85"/>
        <v>0</v>
      </c>
      <c r="AB75" s="27">
        <f t="shared" si="86"/>
        <v>0</v>
      </c>
      <c r="AC75" s="27">
        <f t="shared" si="87"/>
        <v>0</v>
      </c>
      <c r="AD75" s="27">
        <f t="shared" si="88"/>
        <v>0</v>
      </c>
      <c r="AE75" s="27">
        <f t="shared" si="89"/>
        <v>0</v>
      </c>
      <c r="AF75" s="27">
        <f t="shared" si="90"/>
        <v>0</v>
      </c>
      <c r="AG75" s="27">
        <f t="shared" si="91"/>
        <v>0</v>
      </c>
      <c r="AH75" s="27">
        <f t="shared" si="92"/>
        <v>0</v>
      </c>
      <c r="AI75" s="13"/>
      <c r="AJ75" s="27">
        <f t="shared" si="93"/>
        <v>0</v>
      </c>
      <c r="AK75" s="27">
        <f t="shared" si="94"/>
        <v>0</v>
      </c>
      <c r="AL75" s="27">
        <f t="shared" si="95"/>
        <v>0</v>
      </c>
      <c r="AN75" s="27">
        <v>12</v>
      </c>
      <c r="AO75" s="27">
        <f>H75*0.266758242</f>
        <v>0</v>
      </c>
      <c r="AP75" s="27">
        <f>H75*(1-0.266758242)</f>
        <v>0</v>
      </c>
      <c r="AQ75" s="30" t="s">
        <v>61</v>
      </c>
      <c r="AV75" s="27">
        <f t="shared" si="96"/>
        <v>0</v>
      </c>
      <c r="AW75" s="27">
        <f t="shared" si="97"/>
        <v>0</v>
      </c>
      <c r="AX75" s="27">
        <f t="shared" si="98"/>
        <v>0</v>
      </c>
      <c r="AY75" s="30" t="s">
        <v>249</v>
      </c>
      <c r="AZ75" s="30" t="s">
        <v>89</v>
      </c>
      <c r="BA75" s="13" t="s">
        <v>64</v>
      </c>
      <c r="BC75" s="27">
        <f t="shared" si="99"/>
        <v>0</v>
      </c>
      <c r="BD75" s="27">
        <f t="shared" si="100"/>
        <v>0</v>
      </c>
      <c r="BE75" s="27">
        <v>0</v>
      </c>
      <c r="BF75" s="27">
        <f t="shared" si="101"/>
        <v>2.46E-2</v>
      </c>
      <c r="BH75" s="27">
        <f t="shared" si="102"/>
        <v>0</v>
      </c>
      <c r="BI75" s="27">
        <f t="shared" si="103"/>
        <v>0</v>
      </c>
      <c r="BJ75" s="27">
        <f t="shared" si="104"/>
        <v>0</v>
      </c>
      <c r="BK75" s="27"/>
      <c r="BL75" s="27">
        <v>734</v>
      </c>
      <c r="BW75" s="27">
        <f t="shared" si="105"/>
        <v>12</v>
      </c>
      <c r="BX75" s="4" t="s">
        <v>255</v>
      </c>
    </row>
    <row r="76" spans="1:76" ht="15" customHeight="1">
      <c r="A76" s="26" t="s">
        <v>256</v>
      </c>
      <c r="B76" s="3"/>
      <c r="C76" s="3" t="s">
        <v>257</v>
      </c>
      <c r="D76" s="58" t="s">
        <v>258</v>
      </c>
      <c r="E76" s="58"/>
      <c r="F76" s="3" t="s">
        <v>87</v>
      </c>
      <c r="G76" s="27">
        <v>16</v>
      </c>
      <c r="H76" s="27"/>
      <c r="I76" s="28">
        <v>12</v>
      </c>
      <c r="J76" s="27">
        <f t="shared" si="80"/>
        <v>0</v>
      </c>
      <c r="K76" s="27">
        <f t="shared" si="81"/>
        <v>0</v>
      </c>
      <c r="L76" s="27">
        <f t="shared" si="82"/>
        <v>0</v>
      </c>
      <c r="M76" s="27">
        <f t="shared" si="83"/>
        <v>0</v>
      </c>
      <c r="N76" s="27">
        <v>3.7100000000000002E-3</v>
      </c>
      <c r="O76" s="27">
        <f t="shared" si="84"/>
        <v>5.9360000000000003E-2</v>
      </c>
      <c r="P76" s="29" t="s">
        <v>60</v>
      </c>
      <c r="Z76" s="27">
        <f t="shared" si="85"/>
        <v>0</v>
      </c>
      <c r="AB76" s="27">
        <f t="shared" si="86"/>
        <v>0</v>
      </c>
      <c r="AC76" s="27">
        <f t="shared" si="87"/>
        <v>0</v>
      </c>
      <c r="AD76" s="27">
        <f t="shared" si="88"/>
        <v>0</v>
      </c>
      <c r="AE76" s="27">
        <f t="shared" si="89"/>
        <v>0</v>
      </c>
      <c r="AF76" s="27">
        <f t="shared" si="90"/>
        <v>0</v>
      </c>
      <c r="AG76" s="27">
        <f t="shared" si="91"/>
        <v>0</v>
      </c>
      <c r="AH76" s="27">
        <f t="shared" si="92"/>
        <v>0</v>
      </c>
      <c r="AI76" s="13"/>
      <c r="AJ76" s="27">
        <f t="shared" si="93"/>
        <v>0</v>
      </c>
      <c r="AK76" s="27">
        <f t="shared" si="94"/>
        <v>0</v>
      </c>
      <c r="AL76" s="27">
        <f t="shared" si="95"/>
        <v>0</v>
      </c>
      <c r="AN76" s="27">
        <v>12</v>
      </c>
      <c r="AO76" s="27">
        <f>H76*0.265479277</f>
        <v>0</v>
      </c>
      <c r="AP76" s="27">
        <f>H76*(1-0.265479277)</f>
        <v>0</v>
      </c>
      <c r="AQ76" s="30" t="s">
        <v>61</v>
      </c>
      <c r="AV76" s="27">
        <f t="shared" si="96"/>
        <v>0</v>
      </c>
      <c r="AW76" s="27">
        <f t="shared" si="97"/>
        <v>0</v>
      </c>
      <c r="AX76" s="27">
        <f t="shared" si="98"/>
        <v>0</v>
      </c>
      <c r="AY76" s="30" t="s">
        <v>249</v>
      </c>
      <c r="AZ76" s="30" t="s">
        <v>89</v>
      </c>
      <c r="BA76" s="13" t="s">
        <v>64</v>
      </c>
      <c r="BC76" s="27">
        <f t="shared" si="99"/>
        <v>0</v>
      </c>
      <c r="BD76" s="27">
        <f t="shared" si="100"/>
        <v>0</v>
      </c>
      <c r="BE76" s="27">
        <v>0</v>
      </c>
      <c r="BF76" s="27">
        <f t="shared" si="101"/>
        <v>5.9360000000000003E-2</v>
      </c>
      <c r="BH76" s="27">
        <f t="shared" si="102"/>
        <v>0</v>
      </c>
      <c r="BI76" s="27">
        <f t="shared" si="103"/>
        <v>0</v>
      </c>
      <c r="BJ76" s="27">
        <f t="shared" si="104"/>
        <v>0</v>
      </c>
      <c r="BK76" s="27"/>
      <c r="BL76" s="27">
        <v>734</v>
      </c>
      <c r="BW76" s="27">
        <f t="shared" si="105"/>
        <v>12</v>
      </c>
      <c r="BX76" s="4" t="s">
        <v>258</v>
      </c>
    </row>
    <row r="77" spans="1:76" ht="15" customHeight="1">
      <c r="A77" s="26" t="s">
        <v>259</v>
      </c>
      <c r="B77" s="3"/>
      <c r="C77" s="3" t="s">
        <v>260</v>
      </c>
      <c r="D77" s="58" t="s">
        <v>261</v>
      </c>
      <c r="E77" s="58"/>
      <c r="F77" s="3" t="s">
        <v>87</v>
      </c>
      <c r="G77" s="27">
        <v>1</v>
      </c>
      <c r="H77" s="27"/>
      <c r="I77" s="28">
        <v>12</v>
      </c>
      <c r="J77" s="27">
        <f t="shared" si="80"/>
        <v>0</v>
      </c>
      <c r="K77" s="27">
        <f t="shared" si="81"/>
        <v>0</v>
      </c>
      <c r="L77" s="27">
        <f t="shared" si="82"/>
        <v>0</v>
      </c>
      <c r="M77" s="27">
        <f t="shared" si="83"/>
        <v>0</v>
      </c>
      <c r="N77" s="27">
        <v>1.6000000000000001E-3</v>
      </c>
      <c r="O77" s="27">
        <f t="shared" si="84"/>
        <v>1.6000000000000001E-3</v>
      </c>
      <c r="P77" s="29" t="s">
        <v>60</v>
      </c>
      <c r="Z77" s="27">
        <f t="shared" si="85"/>
        <v>0</v>
      </c>
      <c r="AB77" s="27">
        <f t="shared" si="86"/>
        <v>0</v>
      </c>
      <c r="AC77" s="27">
        <f t="shared" si="87"/>
        <v>0</v>
      </c>
      <c r="AD77" s="27">
        <f t="shared" si="88"/>
        <v>0</v>
      </c>
      <c r="AE77" s="27">
        <f t="shared" si="89"/>
        <v>0</v>
      </c>
      <c r="AF77" s="27">
        <f t="shared" si="90"/>
        <v>0</v>
      </c>
      <c r="AG77" s="27">
        <f t="shared" si="91"/>
        <v>0</v>
      </c>
      <c r="AH77" s="27">
        <f t="shared" si="92"/>
        <v>0</v>
      </c>
      <c r="AI77" s="13"/>
      <c r="AJ77" s="27">
        <f t="shared" si="93"/>
        <v>0</v>
      </c>
      <c r="AK77" s="27">
        <f t="shared" si="94"/>
        <v>0</v>
      </c>
      <c r="AL77" s="27">
        <f t="shared" si="95"/>
        <v>0</v>
      </c>
      <c r="AN77" s="27">
        <v>12</v>
      </c>
      <c r="AO77" s="27">
        <f>H77*0.151604009</f>
        <v>0</v>
      </c>
      <c r="AP77" s="27">
        <f>H77*(1-0.151604009)</f>
        <v>0</v>
      </c>
      <c r="AQ77" s="30" t="s">
        <v>61</v>
      </c>
      <c r="AV77" s="27">
        <f t="shared" si="96"/>
        <v>0</v>
      </c>
      <c r="AW77" s="27">
        <f t="shared" si="97"/>
        <v>0</v>
      </c>
      <c r="AX77" s="27">
        <f t="shared" si="98"/>
        <v>0</v>
      </c>
      <c r="AY77" s="30" t="s">
        <v>249</v>
      </c>
      <c r="AZ77" s="30" t="s">
        <v>89</v>
      </c>
      <c r="BA77" s="13" t="s">
        <v>64</v>
      </c>
      <c r="BC77" s="27">
        <f t="shared" si="99"/>
        <v>0</v>
      </c>
      <c r="BD77" s="27">
        <f t="shared" si="100"/>
        <v>0</v>
      </c>
      <c r="BE77" s="27">
        <v>0</v>
      </c>
      <c r="BF77" s="27">
        <f t="shared" si="101"/>
        <v>1.6000000000000001E-3</v>
      </c>
      <c r="BH77" s="27">
        <f t="shared" si="102"/>
        <v>0</v>
      </c>
      <c r="BI77" s="27">
        <f t="shared" si="103"/>
        <v>0</v>
      </c>
      <c r="BJ77" s="27">
        <f t="shared" si="104"/>
        <v>0</v>
      </c>
      <c r="BK77" s="27"/>
      <c r="BL77" s="27">
        <v>734</v>
      </c>
      <c r="BW77" s="27">
        <f t="shared" si="105"/>
        <v>12</v>
      </c>
      <c r="BX77" s="4" t="s">
        <v>261</v>
      </c>
    </row>
    <row r="78" spans="1:76" ht="15" customHeight="1">
      <c r="A78" s="26" t="s">
        <v>262</v>
      </c>
      <c r="B78" s="3"/>
      <c r="C78" s="3" t="s">
        <v>263</v>
      </c>
      <c r="D78" s="58" t="s">
        <v>264</v>
      </c>
      <c r="E78" s="58"/>
      <c r="F78" s="3" t="s">
        <v>87</v>
      </c>
      <c r="G78" s="27">
        <v>1</v>
      </c>
      <c r="H78" s="27"/>
      <c r="I78" s="28">
        <v>12</v>
      </c>
      <c r="J78" s="27">
        <f t="shared" si="80"/>
        <v>0</v>
      </c>
      <c r="K78" s="27">
        <f t="shared" si="81"/>
        <v>0</v>
      </c>
      <c r="L78" s="27">
        <f t="shared" si="82"/>
        <v>0</v>
      </c>
      <c r="M78" s="27">
        <f t="shared" si="83"/>
        <v>0</v>
      </c>
      <c r="N78" s="27">
        <v>4.1099999999999999E-3</v>
      </c>
      <c r="O78" s="27">
        <f t="shared" si="84"/>
        <v>4.1099999999999999E-3</v>
      </c>
      <c r="P78" s="29" t="s">
        <v>60</v>
      </c>
      <c r="Z78" s="27">
        <f t="shared" si="85"/>
        <v>0</v>
      </c>
      <c r="AB78" s="27">
        <f t="shared" si="86"/>
        <v>0</v>
      </c>
      <c r="AC78" s="27">
        <f t="shared" si="87"/>
        <v>0</v>
      </c>
      <c r="AD78" s="27">
        <f t="shared" si="88"/>
        <v>0</v>
      </c>
      <c r="AE78" s="27">
        <f t="shared" si="89"/>
        <v>0</v>
      </c>
      <c r="AF78" s="27">
        <f t="shared" si="90"/>
        <v>0</v>
      </c>
      <c r="AG78" s="27">
        <f t="shared" si="91"/>
        <v>0</v>
      </c>
      <c r="AH78" s="27">
        <f t="shared" si="92"/>
        <v>0</v>
      </c>
      <c r="AI78" s="13"/>
      <c r="AJ78" s="27">
        <f t="shared" si="93"/>
        <v>0</v>
      </c>
      <c r="AK78" s="27">
        <f t="shared" si="94"/>
        <v>0</v>
      </c>
      <c r="AL78" s="27">
        <f t="shared" si="95"/>
        <v>0</v>
      </c>
      <c r="AN78" s="27">
        <v>12</v>
      </c>
      <c r="AO78" s="27">
        <f>H78*0.151819596</f>
        <v>0</v>
      </c>
      <c r="AP78" s="27">
        <f>H78*(1-0.151819596)</f>
        <v>0</v>
      </c>
      <c r="AQ78" s="30" t="s">
        <v>61</v>
      </c>
      <c r="AV78" s="27">
        <f t="shared" si="96"/>
        <v>0</v>
      </c>
      <c r="AW78" s="27">
        <f t="shared" si="97"/>
        <v>0</v>
      </c>
      <c r="AX78" s="27">
        <f t="shared" si="98"/>
        <v>0</v>
      </c>
      <c r="AY78" s="30" t="s">
        <v>249</v>
      </c>
      <c r="AZ78" s="30" t="s">
        <v>89</v>
      </c>
      <c r="BA78" s="13" t="s">
        <v>64</v>
      </c>
      <c r="BC78" s="27">
        <f t="shared" si="99"/>
        <v>0</v>
      </c>
      <c r="BD78" s="27">
        <f t="shared" si="100"/>
        <v>0</v>
      </c>
      <c r="BE78" s="27">
        <v>0</v>
      </c>
      <c r="BF78" s="27">
        <f t="shared" si="101"/>
        <v>4.1099999999999999E-3</v>
      </c>
      <c r="BH78" s="27">
        <f t="shared" si="102"/>
        <v>0</v>
      </c>
      <c r="BI78" s="27">
        <f t="shared" si="103"/>
        <v>0</v>
      </c>
      <c r="BJ78" s="27">
        <f t="shared" si="104"/>
        <v>0</v>
      </c>
      <c r="BK78" s="27"/>
      <c r="BL78" s="27">
        <v>734</v>
      </c>
      <c r="BW78" s="27">
        <f t="shared" si="105"/>
        <v>12</v>
      </c>
      <c r="BX78" s="4" t="s">
        <v>264</v>
      </c>
    </row>
    <row r="79" spans="1:76" ht="15" customHeight="1">
      <c r="A79" s="26" t="s">
        <v>265</v>
      </c>
      <c r="B79" s="3"/>
      <c r="C79" s="3" t="s">
        <v>266</v>
      </c>
      <c r="D79" s="58" t="s">
        <v>267</v>
      </c>
      <c r="E79" s="58"/>
      <c r="F79" s="3" t="s">
        <v>87</v>
      </c>
      <c r="G79" s="27">
        <v>1</v>
      </c>
      <c r="H79" s="27"/>
      <c r="I79" s="28">
        <v>12</v>
      </c>
      <c r="J79" s="27">
        <f t="shared" si="80"/>
        <v>0</v>
      </c>
      <c r="K79" s="27">
        <f t="shared" si="81"/>
        <v>0</v>
      </c>
      <c r="L79" s="27">
        <f t="shared" si="82"/>
        <v>0</v>
      </c>
      <c r="M79" s="27">
        <f t="shared" si="83"/>
        <v>0</v>
      </c>
      <c r="N79" s="27">
        <v>0</v>
      </c>
      <c r="O79" s="27">
        <f t="shared" si="84"/>
        <v>0</v>
      </c>
      <c r="P79" s="29" t="s">
        <v>60</v>
      </c>
      <c r="Z79" s="27">
        <f t="shared" si="85"/>
        <v>0</v>
      </c>
      <c r="AB79" s="27">
        <f t="shared" si="86"/>
        <v>0</v>
      </c>
      <c r="AC79" s="27">
        <f t="shared" si="87"/>
        <v>0</v>
      </c>
      <c r="AD79" s="27">
        <f t="shared" si="88"/>
        <v>0</v>
      </c>
      <c r="AE79" s="27">
        <f t="shared" si="89"/>
        <v>0</v>
      </c>
      <c r="AF79" s="27">
        <f t="shared" si="90"/>
        <v>0</v>
      </c>
      <c r="AG79" s="27">
        <f t="shared" si="91"/>
        <v>0</v>
      </c>
      <c r="AH79" s="27">
        <f t="shared" si="92"/>
        <v>0</v>
      </c>
      <c r="AI79" s="13"/>
      <c r="AJ79" s="27">
        <f t="shared" si="93"/>
        <v>0</v>
      </c>
      <c r="AK79" s="27">
        <f t="shared" si="94"/>
        <v>0</v>
      </c>
      <c r="AL79" s="27">
        <f t="shared" si="95"/>
        <v>0</v>
      </c>
      <c r="AN79" s="27">
        <v>12</v>
      </c>
      <c r="AO79" s="27">
        <f>H79*0.044864227</f>
        <v>0</v>
      </c>
      <c r="AP79" s="27">
        <f>H79*(1-0.044864227)</f>
        <v>0</v>
      </c>
      <c r="AQ79" s="30" t="s">
        <v>61</v>
      </c>
      <c r="AV79" s="27">
        <f t="shared" si="96"/>
        <v>0</v>
      </c>
      <c r="AW79" s="27">
        <f t="shared" si="97"/>
        <v>0</v>
      </c>
      <c r="AX79" s="27">
        <f t="shared" si="98"/>
        <v>0</v>
      </c>
      <c r="AY79" s="30" t="s">
        <v>249</v>
      </c>
      <c r="AZ79" s="30" t="s">
        <v>89</v>
      </c>
      <c r="BA79" s="13" t="s">
        <v>64</v>
      </c>
      <c r="BC79" s="27">
        <f t="shared" si="99"/>
        <v>0</v>
      </c>
      <c r="BD79" s="27">
        <f t="shared" si="100"/>
        <v>0</v>
      </c>
      <c r="BE79" s="27">
        <v>0</v>
      </c>
      <c r="BF79" s="27">
        <f t="shared" si="101"/>
        <v>0</v>
      </c>
      <c r="BH79" s="27">
        <f t="shared" si="102"/>
        <v>0</v>
      </c>
      <c r="BI79" s="27">
        <f t="shared" si="103"/>
        <v>0</v>
      </c>
      <c r="BJ79" s="27">
        <f t="shared" si="104"/>
        <v>0</v>
      </c>
      <c r="BK79" s="27"/>
      <c r="BL79" s="27">
        <v>734</v>
      </c>
      <c r="BW79" s="27">
        <f t="shared" si="105"/>
        <v>12</v>
      </c>
      <c r="BX79" s="4" t="s">
        <v>267</v>
      </c>
    </row>
    <row r="80" spans="1:76" ht="15" customHeight="1">
      <c r="A80" s="26" t="s">
        <v>268</v>
      </c>
      <c r="B80" s="3"/>
      <c r="C80" s="3" t="s">
        <v>269</v>
      </c>
      <c r="D80" s="58" t="s">
        <v>270</v>
      </c>
      <c r="E80" s="58"/>
      <c r="F80" s="3" t="s">
        <v>87</v>
      </c>
      <c r="G80" s="27">
        <v>8</v>
      </c>
      <c r="H80" s="27"/>
      <c r="I80" s="28">
        <v>12</v>
      </c>
      <c r="J80" s="27">
        <f t="shared" si="80"/>
        <v>0</v>
      </c>
      <c r="K80" s="27">
        <f t="shared" si="81"/>
        <v>0</v>
      </c>
      <c r="L80" s="27">
        <f t="shared" si="82"/>
        <v>0</v>
      </c>
      <c r="M80" s="27">
        <f t="shared" si="83"/>
        <v>0</v>
      </c>
      <c r="N80" s="27">
        <v>1.3999999999999999E-4</v>
      </c>
      <c r="O80" s="27">
        <f t="shared" si="84"/>
        <v>1.1199999999999999E-3</v>
      </c>
      <c r="P80" s="29" t="s">
        <v>60</v>
      </c>
      <c r="Z80" s="27">
        <f t="shared" si="85"/>
        <v>0</v>
      </c>
      <c r="AB80" s="27">
        <f t="shared" si="86"/>
        <v>0</v>
      </c>
      <c r="AC80" s="27">
        <f t="shared" si="87"/>
        <v>0</v>
      </c>
      <c r="AD80" s="27">
        <f t="shared" si="88"/>
        <v>0</v>
      </c>
      <c r="AE80" s="27">
        <f t="shared" si="89"/>
        <v>0</v>
      </c>
      <c r="AF80" s="27">
        <f t="shared" si="90"/>
        <v>0</v>
      </c>
      <c r="AG80" s="27">
        <f t="shared" si="91"/>
        <v>0</v>
      </c>
      <c r="AH80" s="27">
        <f t="shared" si="92"/>
        <v>0</v>
      </c>
      <c r="AI80" s="13"/>
      <c r="AJ80" s="27">
        <f t="shared" si="93"/>
        <v>0</v>
      </c>
      <c r="AK80" s="27">
        <f t="shared" si="94"/>
        <v>0</v>
      </c>
      <c r="AL80" s="27">
        <f t="shared" si="95"/>
        <v>0</v>
      </c>
      <c r="AN80" s="27">
        <v>12</v>
      </c>
      <c r="AO80" s="27">
        <f>H80*0.69147929</f>
        <v>0</v>
      </c>
      <c r="AP80" s="27">
        <f>H80*(1-0.69147929)</f>
        <v>0</v>
      </c>
      <c r="AQ80" s="30" t="s">
        <v>61</v>
      </c>
      <c r="AV80" s="27">
        <f t="shared" si="96"/>
        <v>0</v>
      </c>
      <c r="AW80" s="27">
        <f t="shared" si="97"/>
        <v>0</v>
      </c>
      <c r="AX80" s="27">
        <f t="shared" si="98"/>
        <v>0</v>
      </c>
      <c r="AY80" s="30" t="s">
        <v>249</v>
      </c>
      <c r="AZ80" s="30" t="s">
        <v>89</v>
      </c>
      <c r="BA80" s="13" t="s">
        <v>64</v>
      </c>
      <c r="BC80" s="27">
        <f t="shared" si="99"/>
        <v>0</v>
      </c>
      <c r="BD80" s="27">
        <f t="shared" si="100"/>
        <v>0</v>
      </c>
      <c r="BE80" s="27">
        <v>0</v>
      </c>
      <c r="BF80" s="27">
        <f t="shared" si="101"/>
        <v>1.1199999999999999E-3</v>
      </c>
      <c r="BH80" s="27">
        <f t="shared" si="102"/>
        <v>0</v>
      </c>
      <c r="BI80" s="27">
        <f t="shared" si="103"/>
        <v>0</v>
      </c>
      <c r="BJ80" s="27">
        <f t="shared" si="104"/>
        <v>0</v>
      </c>
      <c r="BK80" s="27"/>
      <c r="BL80" s="27">
        <v>734</v>
      </c>
      <c r="BW80" s="27">
        <f t="shared" si="105"/>
        <v>12</v>
      </c>
      <c r="BX80" s="4" t="s">
        <v>270</v>
      </c>
    </row>
    <row r="81" spans="1:76" ht="15" customHeight="1">
      <c r="A81" s="26" t="s">
        <v>271</v>
      </c>
      <c r="B81" s="3"/>
      <c r="C81" s="3" t="s">
        <v>272</v>
      </c>
      <c r="D81" s="58" t="s">
        <v>273</v>
      </c>
      <c r="E81" s="58"/>
      <c r="F81" s="3" t="s">
        <v>87</v>
      </c>
      <c r="G81" s="27">
        <v>2</v>
      </c>
      <c r="H81" s="27"/>
      <c r="I81" s="28">
        <v>12</v>
      </c>
      <c r="J81" s="27">
        <f t="shared" si="80"/>
        <v>0</v>
      </c>
      <c r="K81" s="27">
        <f t="shared" si="81"/>
        <v>0</v>
      </c>
      <c r="L81" s="27">
        <f t="shared" si="82"/>
        <v>0</v>
      </c>
      <c r="M81" s="27">
        <f t="shared" si="83"/>
        <v>0</v>
      </c>
      <c r="N81" s="27">
        <v>3.4000000000000002E-4</v>
      </c>
      <c r="O81" s="27">
        <f t="shared" si="84"/>
        <v>6.8000000000000005E-4</v>
      </c>
      <c r="P81" s="29" t="s">
        <v>60</v>
      </c>
      <c r="Z81" s="27">
        <f t="shared" si="85"/>
        <v>0</v>
      </c>
      <c r="AB81" s="27">
        <f t="shared" si="86"/>
        <v>0</v>
      </c>
      <c r="AC81" s="27">
        <f t="shared" si="87"/>
        <v>0</v>
      </c>
      <c r="AD81" s="27">
        <f t="shared" si="88"/>
        <v>0</v>
      </c>
      <c r="AE81" s="27">
        <f t="shared" si="89"/>
        <v>0</v>
      </c>
      <c r="AF81" s="27">
        <f t="shared" si="90"/>
        <v>0</v>
      </c>
      <c r="AG81" s="27">
        <f t="shared" si="91"/>
        <v>0</v>
      </c>
      <c r="AH81" s="27">
        <f t="shared" si="92"/>
        <v>0</v>
      </c>
      <c r="AI81" s="13"/>
      <c r="AJ81" s="27">
        <f t="shared" si="93"/>
        <v>0</v>
      </c>
      <c r="AK81" s="27">
        <f t="shared" si="94"/>
        <v>0</v>
      </c>
      <c r="AL81" s="27">
        <f t="shared" si="95"/>
        <v>0</v>
      </c>
      <c r="AN81" s="27">
        <v>12</v>
      </c>
      <c r="AO81" s="27">
        <f>H81*0.822702703</f>
        <v>0</v>
      </c>
      <c r="AP81" s="27">
        <f>H81*(1-0.822702703)</f>
        <v>0</v>
      </c>
      <c r="AQ81" s="30" t="s">
        <v>61</v>
      </c>
      <c r="AV81" s="27">
        <f t="shared" si="96"/>
        <v>0</v>
      </c>
      <c r="AW81" s="27">
        <f t="shared" si="97"/>
        <v>0</v>
      </c>
      <c r="AX81" s="27">
        <f t="shared" si="98"/>
        <v>0</v>
      </c>
      <c r="AY81" s="30" t="s">
        <v>249</v>
      </c>
      <c r="AZ81" s="30" t="s">
        <v>89</v>
      </c>
      <c r="BA81" s="13" t="s">
        <v>64</v>
      </c>
      <c r="BC81" s="27">
        <f t="shared" si="99"/>
        <v>0</v>
      </c>
      <c r="BD81" s="27">
        <f t="shared" si="100"/>
        <v>0</v>
      </c>
      <c r="BE81" s="27">
        <v>0</v>
      </c>
      <c r="BF81" s="27">
        <f t="shared" si="101"/>
        <v>6.8000000000000005E-4</v>
      </c>
      <c r="BH81" s="27">
        <f t="shared" si="102"/>
        <v>0</v>
      </c>
      <c r="BI81" s="27">
        <f t="shared" si="103"/>
        <v>0</v>
      </c>
      <c r="BJ81" s="27">
        <f t="shared" si="104"/>
        <v>0</v>
      </c>
      <c r="BK81" s="27"/>
      <c r="BL81" s="27">
        <v>734</v>
      </c>
      <c r="BW81" s="27">
        <f t="shared" si="105"/>
        <v>12</v>
      </c>
      <c r="BX81" s="4" t="s">
        <v>273</v>
      </c>
    </row>
    <row r="82" spans="1:76" ht="15" customHeight="1">
      <c r="A82" s="26" t="s">
        <v>274</v>
      </c>
      <c r="B82" s="3"/>
      <c r="C82" s="3" t="s">
        <v>275</v>
      </c>
      <c r="D82" s="58" t="s">
        <v>276</v>
      </c>
      <c r="E82" s="58"/>
      <c r="F82" s="3" t="s">
        <v>87</v>
      </c>
      <c r="G82" s="27">
        <v>3</v>
      </c>
      <c r="H82" s="27"/>
      <c r="I82" s="28">
        <v>12</v>
      </c>
      <c r="J82" s="27">
        <f t="shared" si="80"/>
        <v>0</v>
      </c>
      <c r="K82" s="27">
        <f t="shared" si="81"/>
        <v>0</v>
      </c>
      <c r="L82" s="27">
        <f t="shared" si="82"/>
        <v>0</v>
      </c>
      <c r="M82" s="27">
        <f t="shared" si="83"/>
        <v>0</v>
      </c>
      <c r="N82" s="27">
        <v>5.5000000000000003E-4</v>
      </c>
      <c r="O82" s="27">
        <f t="shared" si="84"/>
        <v>1.65E-3</v>
      </c>
      <c r="P82" s="29" t="s">
        <v>60</v>
      </c>
      <c r="Z82" s="27">
        <f t="shared" si="85"/>
        <v>0</v>
      </c>
      <c r="AB82" s="27">
        <f t="shared" si="86"/>
        <v>0</v>
      </c>
      <c r="AC82" s="27">
        <f t="shared" si="87"/>
        <v>0</v>
      </c>
      <c r="AD82" s="27">
        <f t="shared" si="88"/>
        <v>0</v>
      </c>
      <c r="AE82" s="27">
        <f t="shared" si="89"/>
        <v>0</v>
      </c>
      <c r="AF82" s="27">
        <f t="shared" si="90"/>
        <v>0</v>
      </c>
      <c r="AG82" s="27">
        <f t="shared" si="91"/>
        <v>0</v>
      </c>
      <c r="AH82" s="27">
        <f t="shared" si="92"/>
        <v>0</v>
      </c>
      <c r="AI82" s="13"/>
      <c r="AJ82" s="27">
        <f t="shared" si="93"/>
        <v>0</v>
      </c>
      <c r="AK82" s="27">
        <f t="shared" si="94"/>
        <v>0</v>
      </c>
      <c r="AL82" s="27">
        <f t="shared" si="95"/>
        <v>0</v>
      </c>
      <c r="AN82" s="27">
        <v>12</v>
      </c>
      <c r="AO82" s="27">
        <f>H82*0.849445423</f>
        <v>0</v>
      </c>
      <c r="AP82" s="27">
        <f>H82*(1-0.849445423)</f>
        <v>0</v>
      </c>
      <c r="AQ82" s="30" t="s">
        <v>61</v>
      </c>
      <c r="AV82" s="27">
        <f t="shared" si="96"/>
        <v>0</v>
      </c>
      <c r="AW82" s="27">
        <f t="shared" si="97"/>
        <v>0</v>
      </c>
      <c r="AX82" s="27">
        <f t="shared" si="98"/>
        <v>0</v>
      </c>
      <c r="AY82" s="30" t="s">
        <v>249</v>
      </c>
      <c r="AZ82" s="30" t="s">
        <v>89</v>
      </c>
      <c r="BA82" s="13" t="s">
        <v>64</v>
      </c>
      <c r="BC82" s="27">
        <f t="shared" si="99"/>
        <v>0</v>
      </c>
      <c r="BD82" s="27">
        <f t="shared" si="100"/>
        <v>0</v>
      </c>
      <c r="BE82" s="27">
        <v>0</v>
      </c>
      <c r="BF82" s="27">
        <f t="shared" si="101"/>
        <v>1.65E-3</v>
      </c>
      <c r="BH82" s="27">
        <f t="shared" si="102"/>
        <v>0</v>
      </c>
      <c r="BI82" s="27">
        <f t="shared" si="103"/>
        <v>0</v>
      </c>
      <c r="BJ82" s="27">
        <f t="shared" si="104"/>
        <v>0</v>
      </c>
      <c r="BK82" s="27"/>
      <c r="BL82" s="27">
        <v>734</v>
      </c>
      <c r="BW82" s="27">
        <f t="shared" si="105"/>
        <v>12</v>
      </c>
      <c r="BX82" s="4" t="s">
        <v>276</v>
      </c>
    </row>
    <row r="83" spans="1:76" ht="15" customHeight="1">
      <c r="A83" s="26" t="s">
        <v>277</v>
      </c>
      <c r="B83" s="3"/>
      <c r="C83" s="3" t="s">
        <v>278</v>
      </c>
      <c r="D83" s="58" t="s">
        <v>279</v>
      </c>
      <c r="E83" s="58"/>
      <c r="F83" s="3" t="s">
        <v>87</v>
      </c>
      <c r="G83" s="27">
        <v>2</v>
      </c>
      <c r="H83" s="27"/>
      <c r="I83" s="28">
        <v>12</v>
      </c>
      <c r="J83" s="27">
        <f t="shared" si="80"/>
        <v>0</v>
      </c>
      <c r="K83" s="27">
        <f t="shared" si="81"/>
        <v>0</v>
      </c>
      <c r="L83" s="27">
        <f t="shared" si="82"/>
        <v>0</v>
      </c>
      <c r="M83" s="27">
        <f t="shared" si="83"/>
        <v>0</v>
      </c>
      <c r="N83" s="27">
        <v>0</v>
      </c>
      <c r="O83" s="27">
        <f t="shared" si="84"/>
        <v>0</v>
      </c>
      <c r="P83" s="29" t="s">
        <v>60</v>
      </c>
      <c r="Z83" s="27">
        <f t="shared" si="85"/>
        <v>0</v>
      </c>
      <c r="AB83" s="27">
        <f t="shared" si="86"/>
        <v>0</v>
      </c>
      <c r="AC83" s="27">
        <f t="shared" si="87"/>
        <v>0</v>
      </c>
      <c r="AD83" s="27">
        <f t="shared" si="88"/>
        <v>0</v>
      </c>
      <c r="AE83" s="27">
        <f t="shared" si="89"/>
        <v>0</v>
      </c>
      <c r="AF83" s="27">
        <f t="shared" si="90"/>
        <v>0</v>
      </c>
      <c r="AG83" s="27">
        <f t="shared" si="91"/>
        <v>0</v>
      </c>
      <c r="AH83" s="27">
        <f t="shared" si="92"/>
        <v>0</v>
      </c>
      <c r="AI83" s="13"/>
      <c r="AJ83" s="27">
        <f t="shared" si="93"/>
        <v>0</v>
      </c>
      <c r="AK83" s="27">
        <f t="shared" si="94"/>
        <v>0</v>
      </c>
      <c r="AL83" s="27">
        <f t="shared" si="95"/>
        <v>0</v>
      </c>
      <c r="AN83" s="27">
        <v>12</v>
      </c>
      <c r="AO83" s="27">
        <f>H83*0.05627451</f>
        <v>0</v>
      </c>
      <c r="AP83" s="27">
        <f>H83*(1-0.05627451)</f>
        <v>0</v>
      </c>
      <c r="AQ83" s="30" t="s">
        <v>61</v>
      </c>
      <c r="AV83" s="27">
        <f t="shared" si="96"/>
        <v>0</v>
      </c>
      <c r="AW83" s="27">
        <f t="shared" si="97"/>
        <v>0</v>
      </c>
      <c r="AX83" s="27">
        <f t="shared" si="98"/>
        <v>0</v>
      </c>
      <c r="AY83" s="30" t="s">
        <v>249</v>
      </c>
      <c r="AZ83" s="30" t="s">
        <v>89</v>
      </c>
      <c r="BA83" s="13" t="s">
        <v>64</v>
      </c>
      <c r="BC83" s="27">
        <f t="shared" si="99"/>
        <v>0</v>
      </c>
      <c r="BD83" s="27">
        <f t="shared" si="100"/>
        <v>0</v>
      </c>
      <c r="BE83" s="27">
        <v>0</v>
      </c>
      <c r="BF83" s="27">
        <f t="shared" si="101"/>
        <v>0</v>
      </c>
      <c r="BH83" s="27">
        <f t="shared" si="102"/>
        <v>0</v>
      </c>
      <c r="BI83" s="27">
        <f t="shared" si="103"/>
        <v>0</v>
      </c>
      <c r="BJ83" s="27">
        <f t="shared" si="104"/>
        <v>0</v>
      </c>
      <c r="BK83" s="27"/>
      <c r="BL83" s="27">
        <v>734</v>
      </c>
      <c r="BW83" s="27">
        <f t="shared" si="105"/>
        <v>12</v>
      </c>
      <c r="BX83" s="4" t="s">
        <v>279</v>
      </c>
    </row>
    <row r="84" spans="1:76" ht="15" customHeight="1">
      <c r="A84" s="26" t="s">
        <v>280</v>
      </c>
      <c r="B84" s="3"/>
      <c r="C84" s="3" t="s">
        <v>281</v>
      </c>
      <c r="D84" s="58" t="s">
        <v>282</v>
      </c>
      <c r="E84" s="58"/>
      <c r="F84" s="3" t="s">
        <v>87</v>
      </c>
      <c r="G84" s="27">
        <v>3</v>
      </c>
      <c r="H84" s="27"/>
      <c r="I84" s="28">
        <v>12</v>
      </c>
      <c r="J84" s="27">
        <f t="shared" si="80"/>
        <v>0</v>
      </c>
      <c r="K84" s="27">
        <f t="shared" si="81"/>
        <v>0</v>
      </c>
      <c r="L84" s="27">
        <f t="shared" si="82"/>
        <v>0</v>
      </c>
      <c r="M84" s="27">
        <f t="shared" si="83"/>
        <v>0</v>
      </c>
      <c r="N84" s="27">
        <v>0</v>
      </c>
      <c r="O84" s="27">
        <f t="shared" si="84"/>
        <v>0</v>
      </c>
      <c r="P84" s="29" t="s">
        <v>60</v>
      </c>
      <c r="Z84" s="27">
        <f t="shared" si="85"/>
        <v>0</v>
      </c>
      <c r="AB84" s="27">
        <f t="shared" si="86"/>
        <v>0</v>
      </c>
      <c r="AC84" s="27">
        <f t="shared" si="87"/>
        <v>0</v>
      </c>
      <c r="AD84" s="27">
        <f t="shared" si="88"/>
        <v>0</v>
      </c>
      <c r="AE84" s="27">
        <f t="shared" si="89"/>
        <v>0</v>
      </c>
      <c r="AF84" s="27">
        <f t="shared" si="90"/>
        <v>0</v>
      </c>
      <c r="AG84" s="27">
        <f t="shared" si="91"/>
        <v>0</v>
      </c>
      <c r="AH84" s="27">
        <f t="shared" si="92"/>
        <v>0</v>
      </c>
      <c r="AI84" s="13"/>
      <c r="AJ84" s="27">
        <f t="shared" si="93"/>
        <v>0</v>
      </c>
      <c r="AK84" s="27">
        <f t="shared" si="94"/>
        <v>0</v>
      </c>
      <c r="AL84" s="27">
        <f t="shared" si="95"/>
        <v>0</v>
      </c>
      <c r="AN84" s="27">
        <v>12</v>
      </c>
      <c r="AO84" s="27">
        <f>H84*0.063073458</f>
        <v>0</v>
      </c>
      <c r="AP84" s="27">
        <f>H84*(1-0.063073458)</f>
        <v>0</v>
      </c>
      <c r="AQ84" s="30" t="s">
        <v>61</v>
      </c>
      <c r="AV84" s="27">
        <f t="shared" si="96"/>
        <v>0</v>
      </c>
      <c r="AW84" s="27">
        <f t="shared" si="97"/>
        <v>0</v>
      </c>
      <c r="AX84" s="27">
        <f t="shared" si="98"/>
        <v>0</v>
      </c>
      <c r="AY84" s="30" t="s">
        <v>249</v>
      </c>
      <c r="AZ84" s="30" t="s">
        <v>89</v>
      </c>
      <c r="BA84" s="13" t="s">
        <v>64</v>
      </c>
      <c r="BC84" s="27">
        <f t="shared" si="99"/>
        <v>0</v>
      </c>
      <c r="BD84" s="27">
        <f t="shared" si="100"/>
        <v>0</v>
      </c>
      <c r="BE84" s="27">
        <v>0</v>
      </c>
      <c r="BF84" s="27">
        <f t="shared" si="101"/>
        <v>0</v>
      </c>
      <c r="BH84" s="27">
        <f t="shared" si="102"/>
        <v>0</v>
      </c>
      <c r="BI84" s="27">
        <f t="shared" si="103"/>
        <v>0</v>
      </c>
      <c r="BJ84" s="27">
        <f t="shared" si="104"/>
        <v>0</v>
      </c>
      <c r="BK84" s="27"/>
      <c r="BL84" s="27">
        <v>734</v>
      </c>
      <c r="BW84" s="27">
        <f t="shared" si="105"/>
        <v>12</v>
      </c>
      <c r="BX84" s="4" t="s">
        <v>282</v>
      </c>
    </row>
    <row r="85" spans="1:76" ht="15" customHeight="1">
      <c r="A85" s="26" t="s">
        <v>283</v>
      </c>
      <c r="B85" s="3"/>
      <c r="C85" s="3" t="s">
        <v>284</v>
      </c>
      <c r="D85" s="58" t="s">
        <v>285</v>
      </c>
      <c r="E85" s="58"/>
      <c r="F85" s="3" t="s">
        <v>87</v>
      </c>
      <c r="G85" s="27">
        <v>2</v>
      </c>
      <c r="H85" s="27"/>
      <c r="I85" s="28">
        <v>12</v>
      </c>
      <c r="J85" s="27">
        <f t="shared" si="80"/>
        <v>0</v>
      </c>
      <c r="K85" s="27">
        <f t="shared" si="81"/>
        <v>0</v>
      </c>
      <c r="L85" s="27">
        <f t="shared" si="82"/>
        <v>0</v>
      </c>
      <c r="M85" s="27">
        <f t="shared" si="83"/>
        <v>0</v>
      </c>
      <c r="N85" s="27">
        <v>5.4000000000000001E-4</v>
      </c>
      <c r="O85" s="27">
        <f t="shared" si="84"/>
        <v>1.08E-3</v>
      </c>
      <c r="P85" s="29" t="s">
        <v>60</v>
      </c>
      <c r="Z85" s="27">
        <f t="shared" si="85"/>
        <v>0</v>
      </c>
      <c r="AB85" s="27">
        <f t="shared" si="86"/>
        <v>0</v>
      </c>
      <c r="AC85" s="27">
        <f t="shared" si="87"/>
        <v>0</v>
      </c>
      <c r="AD85" s="27">
        <f t="shared" si="88"/>
        <v>0</v>
      </c>
      <c r="AE85" s="27">
        <f t="shared" si="89"/>
        <v>0</v>
      </c>
      <c r="AF85" s="27">
        <f t="shared" si="90"/>
        <v>0</v>
      </c>
      <c r="AG85" s="27">
        <f t="shared" si="91"/>
        <v>0</v>
      </c>
      <c r="AH85" s="27">
        <f t="shared" si="92"/>
        <v>0</v>
      </c>
      <c r="AI85" s="13"/>
      <c r="AJ85" s="27">
        <f t="shared" si="93"/>
        <v>0</v>
      </c>
      <c r="AK85" s="27">
        <f t="shared" si="94"/>
        <v>0</v>
      </c>
      <c r="AL85" s="27">
        <f t="shared" si="95"/>
        <v>0</v>
      </c>
      <c r="AN85" s="27">
        <v>12</v>
      </c>
      <c r="AO85" s="27">
        <f>H85*0.791746032</f>
        <v>0</v>
      </c>
      <c r="AP85" s="27">
        <f>H85*(1-0.791746032)</f>
        <v>0</v>
      </c>
      <c r="AQ85" s="30" t="s">
        <v>61</v>
      </c>
      <c r="AV85" s="27">
        <f t="shared" si="96"/>
        <v>0</v>
      </c>
      <c r="AW85" s="27">
        <f t="shared" si="97"/>
        <v>0</v>
      </c>
      <c r="AX85" s="27">
        <f t="shared" si="98"/>
        <v>0</v>
      </c>
      <c r="AY85" s="30" t="s">
        <v>249</v>
      </c>
      <c r="AZ85" s="30" t="s">
        <v>89</v>
      </c>
      <c r="BA85" s="13" t="s">
        <v>64</v>
      </c>
      <c r="BC85" s="27">
        <f t="shared" si="99"/>
        <v>0</v>
      </c>
      <c r="BD85" s="27">
        <f t="shared" si="100"/>
        <v>0</v>
      </c>
      <c r="BE85" s="27">
        <v>0</v>
      </c>
      <c r="BF85" s="27">
        <f t="shared" si="101"/>
        <v>1.08E-3</v>
      </c>
      <c r="BH85" s="27">
        <f t="shared" si="102"/>
        <v>0</v>
      </c>
      <c r="BI85" s="27">
        <f t="shared" si="103"/>
        <v>0</v>
      </c>
      <c r="BJ85" s="27">
        <f t="shared" si="104"/>
        <v>0</v>
      </c>
      <c r="BK85" s="27"/>
      <c r="BL85" s="27">
        <v>734</v>
      </c>
      <c r="BW85" s="27">
        <f t="shared" si="105"/>
        <v>12</v>
      </c>
      <c r="BX85" s="4" t="s">
        <v>285</v>
      </c>
    </row>
    <row r="86" spans="1:76" ht="15" customHeight="1">
      <c r="A86" s="26" t="s">
        <v>286</v>
      </c>
      <c r="B86" s="3"/>
      <c r="C86" s="3" t="s">
        <v>287</v>
      </c>
      <c r="D86" s="58" t="s">
        <v>288</v>
      </c>
      <c r="E86" s="58"/>
      <c r="F86" s="3" t="s">
        <v>87</v>
      </c>
      <c r="G86" s="27">
        <v>3</v>
      </c>
      <c r="H86" s="27"/>
      <c r="I86" s="28">
        <v>12</v>
      </c>
      <c r="J86" s="27">
        <f t="shared" si="80"/>
        <v>0</v>
      </c>
      <c r="K86" s="27">
        <f t="shared" si="81"/>
        <v>0</v>
      </c>
      <c r="L86" s="27">
        <f t="shared" si="82"/>
        <v>0</v>
      </c>
      <c r="M86" s="27">
        <f t="shared" si="83"/>
        <v>0</v>
      </c>
      <c r="N86" s="27">
        <v>6.9999999999999999E-4</v>
      </c>
      <c r="O86" s="27">
        <f t="shared" si="84"/>
        <v>2.0999999999999999E-3</v>
      </c>
      <c r="P86" s="29" t="s">
        <v>60</v>
      </c>
      <c r="Z86" s="27">
        <f t="shared" si="85"/>
        <v>0</v>
      </c>
      <c r="AB86" s="27">
        <f t="shared" si="86"/>
        <v>0</v>
      </c>
      <c r="AC86" s="27">
        <f t="shared" si="87"/>
        <v>0</v>
      </c>
      <c r="AD86" s="27">
        <f t="shared" si="88"/>
        <v>0</v>
      </c>
      <c r="AE86" s="27">
        <f t="shared" si="89"/>
        <v>0</v>
      </c>
      <c r="AF86" s="27">
        <f t="shared" si="90"/>
        <v>0</v>
      </c>
      <c r="AG86" s="27">
        <f t="shared" si="91"/>
        <v>0</v>
      </c>
      <c r="AH86" s="27">
        <f t="shared" si="92"/>
        <v>0</v>
      </c>
      <c r="AI86" s="13"/>
      <c r="AJ86" s="27">
        <f t="shared" si="93"/>
        <v>0</v>
      </c>
      <c r="AK86" s="27">
        <f t="shared" si="94"/>
        <v>0</v>
      </c>
      <c r="AL86" s="27">
        <f t="shared" si="95"/>
        <v>0</v>
      </c>
      <c r="AN86" s="27">
        <v>12</v>
      </c>
      <c r="AO86" s="27">
        <f>H86*0.833304094</f>
        <v>0</v>
      </c>
      <c r="AP86" s="27">
        <f>H86*(1-0.833304094)</f>
        <v>0</v>
      </c>
      <c r="AQ86" s="30" t="s">
        <v>61</v>
      </c>
      <c r="AV86" s="27">
        <f t="shared" si="96"/>
        <v>0</v>
      </c>
      <c r="AW86" s="27">
        <f t="shared" si="97"/>
        <v>0</v>
      </c>
      <c r="AX86" s="27">
        <f t="shared" si="98"/>
        <v>0</v>
      </c>
      <c r="AY86" s="30" t="s">
        <v>249</v>
      </c>
      <c r="AZ86" s="30" t="s">
        <v>89</v>
      </c>
      <c r="BA86" s="13" t="s">
        <v>64</v>
      </c>
      <c r="BC86" s="27">
        <f t="shared" si="99"/>
        <v>0</v>
      </c>
      <c r="BD86" s="27">
        <f t="shared" si="100"/>
        <v>0</v>
      </c>
      <c r="BE86" s="27">
        <v>0</v>
      </c>
      <c r="BF86" s="27">
        <f t="shared" si="101"/>
        <v>2.0999999999999999E-3</v>
      </c>
      <c r="BH86" s="27">
        <f t="shared" si="102"/>
        <v>0</v>
      </c>
      <c r="BI86" s="27">
        <f t="shared" si="103"/>
        <v>0</v>
      </c>
      <c r="BJ86" s="27">
        <f t="shared" si="104"/>
        <v>0</v>
      </c>
      <c r="BK86" s="27"/>
      <c r="BL86" s="27">
        <v>734</v>
      </c>
      <c r="BW86" s="27">
        <f t="shared" si="105"/>
        <v>12</v>
      </c>
      <c r="BX86" s="4" t="s">
        <v>288</v>
      </c>
    </row>
    <row r="87" spans="1:76" ht="15" customHeight="1">
      <c r="A87" s="26" t="s">
        <v>289</v>
      </c>
      <c r="B87" s="3"/>
      <c r="C87" s="3" t="s">
        <v>290</v>
      </c>
      <c r="D87" s="58" t="s">
        <v>291</v>
      </c>
      <c r="E87" s="58"/>
      <c r="F87" s="3" t="s">
        <v>87</v>
      </c>
      <c r="G87" s="27">
        <v>2</v>
      </c>
      <c r="H87" s="27"/>
      <c r="I87" s="28">
        <v>12</v>
      </c>
      <c r="J87" s="27">
        <f t="shared" si="80"/>
        <v>0</v>
      </c>
      <c r="K87" s="27">
        <f t="shared" si="81"/>
        <v>0</v>
      </c>
      <c r="L87" s="27">
        <f t="shared" si="82"/>
        <v>0</v>
      </c>
      <c r="M87" s="27">
        <f t="shared" si="83"/>
        <v>0</v>
      </c>
      <c r="N87" s="27">
        <v>1.3999999999999999E-4</v>
      </c>
      <c r="O87" s="27">
        <f t="shared" si="84"/>
        <v>2.7999999999999998E-4</v>
      </c>
      <c r="P87" s="29" t="s">
        <v>60</v>
      </c>
      <c r="Z87" s="27">
        <f t="shared" si="85"/>
        <v>0</v>
      </c>
      <c r="AB87" s="27">
        <f t="shared" si="86"/>
        <v>0</v>
      </c>
      <c r="AC87" s="27">
        <f t="shared" si="87"/>
        <v>0</v>
      </c>
      <c r="AD87" s="27">
        <f t="shared" si="88"/>
        <v>0</v>
      </c>
      <c r="AE87" s="27">
        <f t="shared" si="89"/>
        <v>0</v>
      </c>
      <c r="AF87" s="27">
        <f t="shared" si="90"/>
        <v>0</v>
      </c>
      <c r="AG87" s="27">
        <f t="shared" si="91"/>
        <v>0</v>
      </c>
      <c r="AH87" s="27">
        <f t="shared" si="92"/>
        <v>0</v>
      </c>
      <c r="AI87" s="13"/>
      <c r="AJ87" s="27">
        <f t="shared" si="93"/>
        <v>0</v>
      </c>
      <c r="AK87" s="27">
        <f t="shared" si="94"/>
        <v>0</v>
      </c>
      <c r="AL87" s="27">
        <f t="shared" si="95"/>
        <v>0</v>
      </c>
      <c r="AN87" s="27">
        <v>12</v>
      </c>
      <c r="AO87" s="27">
        <f>H87*0.598829873</f>
        <v>0</v>
      </c>
      <c r="AP87" s="27">
        <f>H87*(1-0.598829873)</f>
        <v>0</v>
      </c>
      <c r="AQ87" s="30" t="s">
        <v>61</v>
      </c>
      <c r="AV87" s="27">
        <f t="shared" si="96"/>
        <v>0</v>
      </c>
      <c r="AW87" s="27">
        <f t="shared" si="97"/>
        <v>0</v>
      </c>
      <c r="AX87" s="27">
        <f t="shared" si="98"/>
        <v>0</v>
      </c>
      <c r="AY87" s="30" t="s">
        <v>249</v>
      </c>
      <c r="AZ87" s="30" t="s">
        <v>89</v>
      </c>
      <c r="BA87" s="13" t="s">
        <v>64</v>
      </c>
      <c r="BC87" s="27">
        <f t="shared" si="99"/>
        <v>0</v>
      </c>
      <c r="BD87" s="27">
        <f t="shared" si="100"/>
        <v>0</v>
      </c>
      <c r="BE87" s="27">
        <v>0</v>
      </c>
      <c r="BF87" s="27">
        <f t="shared" si="101"/>
        <v>2.7999999999999998E-4</v>
      </c>
      <c r="BH87" s="27">
        <f t="shared" si="102"/>
        <v>0</v>
      </c>
      <c r="BI87" s="27">
        <f t="shared" si="103"/>
        <v>0</v>
      </c>
      <c r="BJ87" s="27">
        <f t="shared" si="104"/>
        <v>0</v>
      </c>
      <c r="BK87" s="27"/>
      <c r="BL87" s="27">
        <v>734</v>
      </c>
      <c r="BW87" s="27">
        <f t="shared" si="105"/>
        <v>12</v>
      </c>
      <c r="BX87" s="4" t="s">
        <v>291</v>
      </c>
    </row>
    <row r="88" spans="1:76" ht="15" customHeight="1">
      <c r="A88" s="26" t="s">
        <v>292</v>
      </c>
      <c r="B88" s="3"/>
      <c r="C88" s="3" t="s">
        <v>293</v>
      </c>
      <c r="D88" s="58" t="s">
        <v>294</v>
      </c>
      <c r="E88" s="58"/>
      <c r="F88" s="3" t="s">
        <v>87</v>
      </c>
      <c r="G88" s="27">
        <v>7</v>
      </c>
      <c r="H88" s="27"/>
      <c r="I88" s="28">
        <v>12</v>
      </c>
      <c r="J88" s="27">
        <f t="shared" si="80"/>
        <v>0</v>
      </c>
      <c r="K88" s="27">
        <f t="shared" si="81"/>
        <v>0</v>
      </c>
      <c r="L88" s="27">
        <f t="shared" si="82"/>
        <v>0</v>
      </c>
      <c r="M88" s="27">
        <f t="shared" si="83"/>
        <v>0</v>
      </c>
      <c r="N88" s="27">
        <v>3.2000000000000003E-4</v>
      </c>
      <c r="O88" s="27">
        <f t="shared" si="84"/>
        <v>2.2400000000000002E-3</v>
      </c>
      <c r="P88" s="29" t="s">
        <v>60</v>
      </c>
      <c r="Z88" s="27">
        <f t="shared" si="85"/>
        <v>0</v>
      </c>
      <c r="AB88" s="27">
        <f t="shared" si="86"/>
        <v>0</v>
      </c>
      <c r="AC88" s="27">
        <f t="shared" si="87"/>
        <v>0</v>
      </c>
      <c r="AD88" s="27">
        <f t="shared" si="88"/>
        <v>0</v>
      </c>
      <c r="AE88" s="27">
        <f t="shared" si="89"/>
        <v>0</v>
      </c>
      <c r="AF88" s="27">
        <f t="shared" si="90"/>
        <v>0</v>
      </c>
      <c r="AG88" s="27">
        <f t="shared" si="91"/>
        <v>0</v>
      </c>
      <c r="AH88" s="27">
        <f t="shared" si="92"/>
        <v>0</v>
      </c>
      <c r="AI88" s="13"/>
      <c r="AJ88" s="27">
        <f t="shared" si="93"/>
        <v>0</v>
      </c>
      <c r="AK88" s="27">
        <f t="shared" si="94"/>
        <v>0</v>
      </c>
      <c r="AL88" s="27">
        <f t="shared" si="95"/>
        <v>0</v>
      </c>
      <c r="AN88" s="27">
        <v>12</v>
      </c>
      <c r="AO88" s="27">
        <f>H88*0.710200803</f>
        <v>0</v>
      </c>
      <c r="AP88" s="27">
        <f>H88*(1-0.710200803)</f>
        <v>0</v>
      </c>
      <c r="AQ88" s="30" t="s">
        <v>61</v>
      </c>
      <c r="AV88" s="27">
        <f t="shared" si="96"/>
        <v>0</v>
      </c>
      <c r="AW88" s="27">
        <f t="shared" si="97"/>
        <v>0</v>
      </c>
      <c r="AX88" s="27">
        <f t="shared" si="98"/>
        <v>0</v>
      </c>
      <c r="AY88" s="30" t="s">
        <v>249</v>
      </c>
      <c r="AZ88" s="30" t="s">
        <v>89</v>
      </c>
      <c r="BA88" s="13" t="s">
        <v>64</v>
      </c>
      <c r="BC88" s="27">
        <f t="shared" si="99"/>
        <v>0</v>
      </c>
      <c r="BD88" s="27">
        <f t="shared" si="100"/>
        <v>0</v>
      </c>
      <c r="BE88" s="27">
        <v>0</v>
      </c>
      <c r="BF88" s="27">
        <f t="shared" si="101"/>
        <v>2.2400000000000002E-3</v>
      </c>
      <c r="BH88" s="27">
        <f t="shared" si="102"/>
        <v>0</v>
      </c>
      <c r="BI88" s="27">
        <f t="shared" si="103"/>
        <v>0</v>
      </c>
      <c r="BJ88" s="27">
        <f t="shared" si="104"/>
        <v>0</v>
      </c>
      <c r="BK88" s="27"/>
      <c r="BL88" s="27">
        <v>734</v>
      </c>
      <c r="BW88" s="27">
        <f t="shared" si="105"/>
        <v>12</v>
      </c>
      <c r="BX88" s="4" t="s">
        <v>294</v>
      </c>
    </row>
    <row r="89" spans="1:76" ht="15" customHeight="1">
      <c r="A89" s="26" t="s">
        <v>295</v>
      </c>
      <c r="B89" s="3"/>
      <c r="C89" s="3" t="s">
        <v>296</v>
      </c>
      <c r="D89" s="58" t="s">
        <v>297</v>
      </c>
      <c r="E89" s="58"/>
      <c r="F89" s="3" t="s">
        <v>87</v>
      </c>
      <c r="G89" s="27">
        <v>4</v>
      </c>
      <c r="H89" s="27"/>
      <c r="I89" s="28">
        <v>12</v>
      </c>
      <c r="J89" s="27">
        <f t="shared" si="80"/>
        <v>0</v>
      </c>
      <c r="K89" s="27">
        <f t="shared" si="81"/>
        <v>0</v>
      </c>
      <c r="L89" s="27">
        <f t="shared" si="82"/>
        <v>0</v>
      </c>
      <c r="M89" s="27">
        <f t="shared" si="83"/>
        <v>0</v>
      </c>
      <c r="N89" s="27">
        <v>5.1999999999999995E-4</v>
      </c>
      <c r="O89" s="27">
        <f t="shared" si="84"/>
        <v>2.0799999999999998E-3</v>
      </c>
      <c r="P89" s="29" t="s">
        <v>60</v>
      </c>
      <c r="Z89" s="27">
        <f t="shared" si="85"/>
        <v>0</v>
      </c>
      <c r="AB89" s="27">
        <f t="shared" si="86"/>
        <v>0</v>
      </c>
      <c r="AC89" s="27">
        <f t="shared" si="87"/>
        <v>0</v>
      </c>
      <c r="AD89" s="27">
        <f t="shared" si="88"/>
        <v>0</v>
      </c>
      <c r="AE89" s="27">
        <f t="shared" si="89"/>
        <v>0</v>
      </c>
      <c r="AF89" s="27">
        <f t="shared" si="90"/>
        <v>0</v>
      </c>
      <c r="AG89" s="27">
        <f t="shared" si="91"/>
        <v>0</v>
      </c>
      <c r="AH89" s="27">
        <f t="shared" si="92"/>
        <v>0</v>
      </c>
      <c r="AI89" s="13"/>
      <c r="AJ89" s="27">
        <f t="shared" si="93"/>
        <v>0</v>
      </c>
      <c r="AK89" s="27">
        <f t="shared" si="94"/>
        <v>0</v>
      </c>
      <c r="AL89" s="27">
        <f t="shared" si="95"/>
        <v>0</v>
      </c>
      <c r="AN89" s="27">
        <v>12</v>
      </c>
      <c r="AO89" s="27">
        <f>H89*0.765712329</f>
        <v>0</v>
      </c>
      <c r="AP89" s="27">
        <f>H89*(1-0.765712329)</f>
        <v>0</v>
      </c>
      <c r="AQ89" s="30" t="s">
        <v>61</v>
      </c>
      <c r="AV89" s="27">
        <f t="shared" si="96"/>
        <v>0</v>
      </c>
      <c r="AW89" s="27">
        <f t="shared" si="97"/>
        <v>0</v>
      </c>
      <c r="AX89" s="27">
        <f t="shared" si="98"/>
        <v>0</v>
      </c>
      <c r="AY89" s="30" t="s">
        <v>249</v>
      </c>
      <c r="AZ89" s="30" t="s">
        <v>89</v>
      </c>
      <c r="BA89" s="13" t="s">
        <v>64</v>
      </c>
      <c r="BC89" s="27">
        <f t="shared" si="99"/>
        <v>0</v>
      </c>
      <c r="BD89" s="27">
        <f t="shared" si="100"/>
        <v>0</v>
      </c>
      <c r="BE89" s="27">
        <v>0</v>
      </c>
      <c r="BF89" s="27">
        <f t="shared" si="101"/>
        <v>2.0799999999999998E-3</v>
      </c>
      <c r="BH89" s="27">
        <f t="shared" si="102"/>
        <v>0</v>
      </c>
      <c r="BI89" s="27">
        <f t="shared" si="103"/>
        <v>0</v>
      </c>
      <c r="BJ89" s="27">
        <f t="shared" si="104"/>
        <v>0</v>
      </c>
      <c r="BK89" s="27"/>
      <c r="BL89" s="27">
        <v>734</v>
      </c>
      <c r="BW89" s="27">
        <f t="shared" si="105"/>
        <v>12</v>
      </c>
      <c r="BX89" s="4" t="s">
        <v>297</v>
      </c>
    </row>
    <row r="90" spans="1:76" ht="15" customHeight="1">
      <c r="A90" s="26" t="s">
        <v>298</v>
      </c>
      <c r="B90" s="3"/>
      <c r="C90" s="3" t="s">
        <v>299</v>
      </c>
      <c r="D90" s="58" t="s">
        <v>300</v>
      </c>
      <c r="E90" s="58"/>
      <c r="F90" s="3" t="s">
        <v>87</v>
      </c>
      <c r="G90" s="27">
        <v>3</v>
      </c>
      <c r="H90" s="27"/>
      <c r="I90" s="28">
        <v>12</v>
      </c>
      <c r="J90" s="27">
        <f t="shared" si="80"/>
        <v>0</v>
      </c>
      <c r="K90" s="27">
        <f t="shared" si="81"/>
        <v>0</v>
      </c>
      <c r="L90" s="27">
        <f t="shared" si="82"/>
        <v>0</v>
      </c>
      <c r="M90" s="27">
        <f t="shared" si="83"/>
        <v>0</v>
      </c>
      <c r="N90" s="27">
        <v>1.24E-3</v>
      </c>
      <c r="O90" s="27">
        <f t="shared" si="84"/>
        <v>3.7200000000000002E-3</v>
      </c>
      <c r="P90" s="29" t="s">
        <v>60</v>
      </c>
      <c r="Z90" s="27">
        <f t="shared" si="85"/>
        <v>0</v>
      </c>
      <c r="AB90" s="27">
        <f t="shared" si="86"/>
        <v>0</v>
      </c>
      <c r="AC90" s="27">
        <f t="shared" si="87"/>
        <v>0</v>
      </c>
      <c r="AD90" s="27">
        <f t="shared" si="88"/>
        <v>0</v>
      </c>
      <c r="AE90" s="27">
        <f t="shared" si="89"/>
        <v>0</v>
      </c>
      <c r="AF90" s="27">
        <f t="shared" si="90"/>
        <v>0</v>
      </c>
      <c r="AG90" s="27">
        <f t="shared" si="91"/>
        <v>0</v>
      </c>
      <c r="AH90" s="27">
        <f t="shared" si="92"/>
        <v>0</v>
      </c>
      <c r="AI90" s="13"/>
      <c r="AJ90" s="27">
        <f t="shared" si="93"/>
        <v>0</v>
      </c>
      <c r="AK90" s="27">
        <f t="shared" si="94"/>
        <v>0</v>
      </c>
      <c r="AL90" s="27">
        <f t="shared" si="95"/>
        <v>0</v>
      </c>
      <c r="AN90" s="27">
        <v>12</v>
      </c>
      <c r="AO90" s="27">
        <f>H90*0.834822304</f>
        <v>0</v>
      </c>
      <c r="AP90" s="27">
        <f>H90*(1-0.834822304)</f>
        <v>0</v>
      </c>
      <c r="AQ90" s="30" t="s">
        <v>61</v>
      </c>
      <c r="AV90" s="27">
        <f t="shared" si="96"/>
        <v>0</v>
      </c>
      <c r="AW90" s="27">
        <f t="shared" si="97"/>
        <v>0</v>
      </c>
      <c r="AX90" s="27">
        <f t="shared" si="98"/>
        <v>0</v>
      </c>
      <c r="AY90" s="30" t="s">
        <v>249</v>
      </c>
      <c r="AZ90" s="30" t="s">
        <v>89</v>
      </c>
      <c r="BA90" s="13" t="s">
        <v>64</v>
      </c>
      <c r="BC90" s="27">
        <f t="shared" si="99"/>
        <v>0</v>
      </c>
      <c r="BD90" s="27">
        <f t="shared" si="100"/>
        <v>0</v>
      </c>
      <c r="BE90" s="27">
        <v>0</v>
      </c>
      <c r="BF90" s="27">
        <f t="shared" si="101"/>
        <v>3.7200000000000002E-3</v>
      </c>
      <c r="BH90" s="27">
        <f t="shared" si="102"/>
        <v>0</v>
      </c>
      <c r="BI90" s="27">
        <f t="shared" si="103"/>
        <v>0</v>
      </c>
      <c r="BJ90" s="27">
        <f t="shared" si="104"/>
        <v>0</v>
      </c>
      <c r="BK90" s="27"/>
      <c r="BL90" s="27">
        <v>734</v>
      </c>
      <c r="BW90" s="27">
        <f t="shared" si="105"/>
        <v>12</v>
      </c>
      <c r="BX90" s="4" t="s">
        <v>300</v>
      </c>
    </row>
    <row r="91" spans="1:76" ht="15" customHeight="1">
      <c r="A91" s="26" t="s">
        <v>301</v>
      </c>
      <c r="B91" s="3"/>
      <c r="C91" s="3" t="s">
        <v>302</v>
      </c>
      <c r="D91" s="58" t="s">
        <v>303</v>
      </c>
      <c r="E91" s="58"/>
      <c r="F91" s="3" t="s">
        <v>92</v>
      </c>
      <c r="G91" s="27">
        <v>2</v>
      </c>
      <c r="H91" s="27"/>
      <c r="I91" s="28">
        <v>12</v>
      </c>
      <c r="J91" s="27">
        <f t="shared" si="80"/>
        <v>0</v>
      </c>
      <c r="K91" s="27">
        <f t="shared" si="81"/>
        <v>0</v>
      </c>
      <c r="L91" s="27">
        <f t="shared" si="82"/>
        <v>0</v>
      </c>
      <c r="M91" s="27">
        <f t="shared" si="83"/>
        <v>0</v>
      </c>
      <c r="N91" s="27">
        <v>0</v>
      </c>
      <c r="O91" s="27">
        <f t="shared" si="84"/>
        <v>0</v>
      </c>
      <c r="P91" s="29"/>
      <c r="Z91" s="27">
        <f t="shared" si="85"/>
        <v>0</v>
      </c>
      <c r="AB91" s="27">
        <f t="shared" si="86"/>
        <v>0</v>
      </c>
      <c r="AC91" s="27">
        <f t="shared" si="87"/>
        <v>0</v>
      </c>
      <c r="AD91" s="27">
        <f t="shared" si="88"/>
        <v>0</v>
      </c>
      <c r="AE91" s="27">
        <f t="shared" si="89"/>
        <v>0</v>
      </c>
      <c r="AF91" s="27">
        <f t="shared" si="90"/>
        <v>0</v>
      </c>
      <c r="AG91" s="27">
        <f t="shared" si="91"/>
        <v>0</v>
      </c>
      <c r="AH91" s="27">
        <f t="shared" si="92"/>
        <v>0</v>
      </c>
      <c r="AI91" s="13"/>
      <c r="AJ91" s="27">
        <f t="shared" si="93"/>
        <v>0</v>
      </c>
      <c r="AK91" s="27">
        <f t="shared" si="94"/>
        <v>0</v>
      </c>
      <c r="AL91" s="27">
        <f t="shared" si="95"/>
        <v>0</v>
      </c>
      <c r="AN91" s="27">
        <v>12</v>
      </c>
      <c r="AO91" s="27">
        <f>H91*1</f>
        <v>0</v>
      </c>
      <c r="AP91" s="27">
        <f>H91*(1-1)</f>
        <v>0</v>
      </c>
      <c r="AQ91" s="30" t="s">
        <v>61</v>
      </c>
      <c r="AV91" s="27">
        <f t="shared" si="96"/>
        <v>0</v>
      </c>
      <c r="AW91" s="27">
        <f t="shared" si="97"/>
        <v>0</v>
      </c>
      <c r="AX91" s="27">
        <f t="shared" si="98"/>
        <v>0</v>
      </c>
      <c r="AY91" s="30" t="s">
        <v>249</v>
      </c>
      <c r="AZ91" s="30" t="s">
        <v>89</v>
      </c>
      <c r="BA91" s="13" t="s">
        <v>64</v>
      </c>
      <c r="BC91" s="27">
        <f t="shared" si="99"/>
        <v>0</v>
      </c>
      <c r="BD91" s="27">
        <f t="shared" si="100"/>
        <v>0</v>
      </c>
      <c r="BE91" s="27">
        <v>0</v>
      </c>
      <c r="BF91" s="27">
        <f t="shared" si="101"/>
        <v>0</v>
      </c>
      <c r="BH91" s="27">
        <f t="shared" si="102"/>
        <v>0</v>
      </c>
      <c r="BI91" s="27">
        <f t="shared" si="103"/>
        <v>0</v>
      </c>
      <c r="BJ91" s="27">
        <f t="shared" si="104"/>
        <v>0</v>
      </c>
      <c r="BK91" s="27"/>
      <c r="BL91" s="27">
        <v>734</v>
      </c>
      <c r="BW91" s="27">
        <f t="shared" si="105"/>
        <v>12</v>
      </c>
      <c r="BX91" s="4" t="s">
        <v>303</v>
      </c>
    </row>
    <row r="92" spans="1:76" ht="15" customHeight="1">
      <c r="A92" s="26" t="s">
        <v>304</v>
      </c>
      <c r="B92" s="3"/>
      <c r="C92" s="3" t="s">
        <v>305</v>
      </c>
      <c r="D92" s="58" t="s">
        <v>306</v>
      </c>
      <c r="E92" s="58"/>
      <c r="F92" s="3" t="s">
        <v>92</v>
      </c>
      <c r="G92" s="27">
        <v>1</v>
      </c>
      <c r="H92" s="27"/>
      <c r="I92" s="28">
        <v>12</v>
      </c>
      <c r="J92" s="27">
        <f t="shared" si="80"/>
        <v>0</v>
      </c>
      <c r="K92" s="27">
        <f t="shared" si="81"/>
        <v>0</v>
      </c>
      <c r="L92" s="27">
        <f t="shared" si="82"/>
        <v>0</v>
      </c>
      <c r="M92" s="27">
        <f t="shared" si="83"/>
        <v>0</v>
      </c>
      <c r="N92" s="27">
        <v>0</v>
      </c>
      <c r="O92" s="27">
        <f t="shared" si="84"/>
        <v>0</v>
      </c>
      <c r="P92" s="29"/>
      <c r="Z92" s="27">
        <f t="shared" si="85"/>
        <v>0</v>
      </c>
      <c r="AB92" s="27">
        <f t="shared" si="86"/>
        <v>0</v>
      </c>
      <c r="AC92" s="27">
        <f t="shared" si="87"/>
        <v>0</v>
      </c>
      <c r="AD92" s="27">
        <f t="shared" si="88"/>
        <v>0</v>
      </c>
      <c r="AE92" s="27">
        <f t="shared" si="89"/>
        <v>0</v>
      </c>
      <c r="AF92" s="27">
        <f t="shared" si="90"/>
        <v>0</v>
      </c>
      <c r="AG92" s="27">
        <f t="shared" si="91"/>
        <v>0</v>
      </c>
      <c r="AH92" s="27">
        <f t="shared" si="92"/>
        <v>0</v>
      </c>
      <c r="AI92" s="13"/>
      <c r="AJ92" s="27">
        <f t="shared" si="93"/>
        <v>0</v>
      </c>
      <c r="AK92" s="27">
        <f t="shared" si="94"/>
        <v>0</v>
      </c>
      <c r="AL92" s="27">
        <f t="shared" si="95"/>
        <v>0</v>
      </c>
      <c r="AN92" s="27">
        <v>12</v>
      </c>
      <c r="AO92" s="27">
        <f>H92*1</f>
        <v>0</v>
      </c>
      <c r="AP92" s="27">
        <f>H92*(1-1)</f>
        <v>0</v>
      </c>
      <c r="AQ92" s="30" t="s">
        <v>61</v>
      </c>
      <c r="AV92" s="27">
        <f t="shared" si="96"/>
        <v>0</v>
      </c>
      <c r="AW92" s="27">
        <f t="shared" si="97"/>
        <v>0</v>
      </c>
      <c r="AX92" s="27">
        <f t="shared" si="98"/>
        <v>0</v>
      </c>
      <c r="AY92" s="30" t="s">
        <v>249</v>
      </c>
      <c r="AZ92" s="30" t="s">
        <v>89</v>
      </c>
      <c r="BA92" s="13" t="s">
        <v>64</v>
      </c>
      <c r="BC92" s="27">
        <f t="shared" si="99"/>
        <v>0</v>
      </c>
      <c r="BD92" s="27">
        <f t="shared" si="100"/>
        <v>0</v>
      </c>
      <c r="BE92" s="27">
        <v>0</v>
      </c>
      <c r="BF92" s="27">
        <f t="shared" si="101"/>
        <v>0</v>
      </c>
      <c r="BH92" s="27">
        <f t="shared" si="102"/>
        <v>0</v>
      </c>
      <c r="BI92" s="27">
        <f t="shared" si="103"/>
        <v>0</v>
      </c>
      <c r="BJ92" s="27">
        <f t="shared" si="104"/>
        <v>0</v>
      </c>
      <c r="BK92" s="27"/>
      <c r="BL92" s="27">
        <v>734</v>
      </c>
      <c r="BW92" s="27">
        <f t="shared" si="105"/>
        <v>12</v>
      </c>
      <c r="BX92" s="4" t="s">
        <v>306</v>
      </c>
    </row>
    <row r="93" spans="1:76" ht="15" customHeight="1">
      <c r="A93" s="22"/>
      <c r="B93" s="23"/>
      <c r="C93" s="23" t="s">
        <v>307</v>
      </c>
      <c r="D93" s="59" t="s">
        <v>308</v>
      </c>
      <c r="E93" s="59"/>
      <c r="F93" s="24" t="s">
        <v>4</v>
      </c>
      <c r="G93" s="24" t="s">
        <v>4</v>
      </c>
      <c r="H93" s="24"/>
      <c r="I93" s="24" t="s">
        <v>4</v>
      </c>
      <c r="J93" s="6">
        <f>SUM(J94:J96)</f>
        <v>0</v>
      </c>
      <c r="K93" s="6">
        <f>SUM(K94:K96)</f>
        <v>0</v>
      </c>
      <c r="L93" s="6">
        <f>SUM(L94:L96)</f>
        <v>0</v>
      </c>
      <c r="M93" s="6">
        <f>SUM(M94:M96)</f>
        <v>0</v>
      </c>
      <c r="N93" s="13"/>
      <c r="O93" s="6">
        <f>SUM(O94:O96)</f>
        <v>6.4499999999999991E-3</v>
      </c>
      <c r="P93" s="25"/>
      <c r="AI93" s="13"/>
      <c r="AS93" s="6">
        <f>SUM(AJ94:AJ96)</f>
        <v>0</v>
      </c>
      <c r="AT93" s="6">
        <f>SUM(AK94:AK96)</f>
        <v>0</v>
      </c>
      <c r="AU93" s="6">
        <f>SUM(AL94:AL96)</f>
        <v>0</v>
      </c>
    </row>
    <row r="94" spans="1:76" ht="15" customHeight="1">
      <c r="A94" s="26" t="s">
        <v>309</v>
      </c>
      <c r="B94" s="3"/>
      <c r="C94" s="3" t="s">
        <v>310</v>
      </c>
      <c r="D94" s="58" t="s">
        <v>311</v>
      </c>
      <c r="E94" s="58"/>
      <c r="F94" s="3" t="s">
        <v>312</v>
      </c>
      <c r="G94" s="27">
        <v>5</v>
      </c>
      <c r="H94" s="27"/>
      <c r="I94" s="28">
        <v>12</v>
      </c>
      <c r="J94" s="27">
        <f>ROUND(G94*AO94,2)</f>
        <v>0</v>
      </c>
      <c r="K94" s="27">
        <f>ROUND(G94*AP94,2)</f>
        <v>0</v>
      </c>
      <c r="L94" s="27">
        <f>ROUND(G94*H94,2)</f>
        <v>0</v>
      </c>
      <c r="M94" s="27">
        <f>L94*(1+BW94/100)</f>
        <v>0</v>
      </c>
      <c r="N94" s="27">
        <v>1.0499999999999999E-3</v>
      </c>
      <c r="O94" s="27">
        <f>G94*N94</f>
        <v>5.2499999999999995E-3</v>
      </c>
      <c r="P94" s="29" t="s">
        <v>60</v>
      </c>
      <c r="Z94" s="27">
        <f>ROUND(IF(AQ94="5",BJ94,0),2)</f>
        <v>0</v>
      </c>
      <c r="AB94" s="27">
        <f>ROUND(IF(AQ94="1",BH94,0),2)</f>
        <v>0</v>
      </c>
      <c r="AC94" s="27">
        <f>ROUND(IF(AQ94="1",BI94,0),2)</f>
        <v>0</v>
      </c>
      <c r="AD94" s="27">
        <f>ROUND(IF(AQ94="7",BH94,0),2)</f>
        <v>0</v>
      </c>
      <c r="AE94" s="27">
        <f>ROUND(IF(AQ94="7",BI94,0),2)</f>
        <v>0</v>
      </c>
      <c r="AF94" s="27">
        <f>ROUND(IF(AQ94="2",BH94,0),2)</f>
        <v>0</v>
      </c>
      <c r="AG94" s="27">
        <f>ROUND(IF(AQ94="2",BI94,0),2)</f>
        <v>0</v>
      </c>
      <c r="AH94" s="27">
        <f>ROUND(IF(AQ94="0",BJ94,0),2)</f>
        <v>0</v>
      </c>
      <c r="AI94" s="13"/>
      <c r="AJ94" s="27">
        <f>IF(AN94=0,L94,0)</f>
        <v>0</v>
      </c>
      <c r="AK94" s="27">
        <f>IF(AN94=12,L94,0)</f>
        <v>0</v>
      </c>
      <c r="AL94" s="27">
        <f>IF(AN94=21,L94,0)</f>
        <v>0</v>
      </c>
      <c r="AN94" s="27">
        <v>12</v>
      </c>
      <c r="AO94" s="27">
        <f>H94*0.15238806</f>
        <v>0</v>
      </c>
      <c r="AP94" s="27">
        <f>H94*(1-0.15238806)</f>
        <v>0</v>
      </c>
      <c r="AQ94" s="30" t="s">
        <v>61</v>
      </c>
      <c r="AV94" s="27">
        <f>ROUND(AW94+AX94,2)</f>
        <v>0</v>
      </c>
      <c r="AW94" s="27">
        <f>ROUND(G94*AO94,2)</f>
        <v>0</v>
      </c>
      <c r="AX94" s="27">
        <f>ROUND(G94*AP94,2)</f>
        <v>0</v>
      </c>
      <c r="AY94" s="30" t="s">
        <v>313</v>
      </c>
      <c r="AZ94" s="30" t="s">
        <v>314</v>
      </c>
      <c r="BA94" s="13" t="s">
        <v>64</v>
      </c>
      <c r="BC94" s="27">
        <f>AW94+AX94</f>
        <v>0</v>
      </c>
      <c r="BD94" s="27">
        <f>H94/(100-BE94)*100</f>
        <v>0</v>
      </c>
      <c r="BE94" s="27">
        <v>0</v>
      </c>
      <c r="BF94" s="27">
        <f>O94</f>
        <v>5.2499999999999995E-3</v>
      </c>
      <c r="BH94" s="27">
        <f>G94*AO94</f>
        <v>0</v>
      </c>
      <c r="BI94" s="27">
        <f>G94*AP94</f>
        <v>0</v>
      </c>
      <c r="BJ94" s="27">
        <f>G94*H94</f>
        <v>0</v>
      </c>
      <c r="BK94" s="27"/>
      <c r="BL94" s="27">
        <v>767</v>
      </c>
      <c r="BW94" s="27">
        <f>I94</f>
        <v>12</v>
      </c>
      <c r="BX94" s="4" t="s">
        <v>311</v>
      </c>
    </row>
    <row r="95" spans="1:76" ht="15" customHeight="1">
      <c r="A95" s="26" t="s">
        <v>315</v>
      </c>
      <c r="B95" s="3"/>
      <c r="C95" s="3" t="s">
        <v>316</v>
      </c>
      <c r="D95" s="58" t="s">
        <v>317</v>
      </c>
      <c r="E95" s="58"/>
      <c r="F95" s="3" t="s">
        <v>312</v>
      </c>
      <c r="G95" s="27">
        <v>10</v>
      </c>
      <c r="H95" s="27"/>
      <c r="I95" s="28">
        <v>12</v>
      </c>
      <c r="J95" s="27">
        <f>ROUND(G95*AO95,2)</f>
        <v>0</v>
      </c>
      <c r="K95" s="27">
        <f>ROUND(G95*AP95,2)</f>
        <v>0</v>
      </c>
      <c r="L95" s="27">
        <f>ROUND(G95*H95,2)</f>
        <v>0</v>
      </c>
      <c r="M95" s="27">
        <f>L95*(1+BW95/100)</f>
        <v>0</v>
      </c>
      <c r="N95" s="27">
        <v>6.0000000000000002E-5</v>
      </c>
      <c r="O95" s="27">
        <f>G95*N95</f>
        <v>6.0000000000000006E-4</v>
      </c>
      <c r="P95" s="29" t="s">
        <v>60</v>
      </c>
      <c r="Z95" s="27">
        <f>ROUND(IF(AQ95="5",BJ95,0),2)</f>
        <v>0</v>
      </c>
      <c r="AB95" s="27">
        <f>ROUND(IF(AQ95="1",BH95,0),2)</f>
        <v>0</v>
      </c>
      <c r="AC95" s="27">
        <f>ROUND(IF(AQ95="1",BI95,0),2)</f>
        <v>0</v>
      </c>
      <c r="AD95" s="27">
        <f>ROUND(IF(AQ95="7",BH95,0),2)</f>
        <v>0</v>
      </c>
      <c r="AE95" s="27">
        <f>ROUND(IF(AQ95="7",BI95,0),2)</f>
        <v>0</v>
      </c>
      <c r="AF95" s="27">
        <f>ROUND(IF(AQ95="2",BH95,0),2)</f>
        <v>0</v>
      </c>
      <c r="AG95" s="27">
        <f>ROUND(IF(AQ95="2",BI95,0),2)</f>
        <v>0</v>
      </c>
      <c r="AH95" s="27">
        <f>ROUND(IF(AQ95="0",BJ95,0),2)</f>
        <v>0</v>
      </c>
      <c r="AI95" s="13"/>
      <c r="AJ95" s="27">
        <f>IF(AN95=0,L95,0)</f>
        <v>0</v>
      </c>
      <c r="AK95" s="27">
        <f>IF(AN95=12,L95,0)</f>
        <v>0</v>
      </c>
      <c r="AL95" s="27">
        <f>IF(AN95=21,L95,0)</f>
        <v>0</v>
      </c>
      <c r="AN95" s="27">
        <v>12</v>
      </c>
      <c r="AO95" s="27">
        <f>H95*0.103501684</f>
        <v>0</v>
      </c>
      <c r="AP95" s="27">
        <f>H95*(1-0.103501684)</f>
        <v>0</v>
      </c>
      <c r="AQ95" s="30" t="s">
        <v>61</v>
      </c>
      <c r="AV95" s="27">
        <f>ROUND(AW95+AX95,2)</f>
        <v>0</v>
      </c>
      <c r="AW95" s="27">
        <f>ROUND(G95*AO95,2)</f>
        <v>0</v>
      </c>
      <c r="AX95" s="27">
        <f>ROUND(G95*AP95,2)</f>
        <v>0</v>
      </c>
      <c r="AY95" s="30" t="s">
        <v>313</v>
      </c>
      <c r="AZ95" s="30" t="s">
        <v>314</v>
      </c>
      <c r="BA95" s="13" t="s">
        <v>64</v>
      </c>
      <c r="BC95" s="27">
        <f>AW95+AX95</f>
        <v>0</v>
      </c>
      <c r="BD95" s="27">
        <f>H95/(100-BE95)*100</f>
        <v>0</v>
      </c>
      <c r="BE95" s="27">
        <v>0</v>
      </c>
      <c r="BF95" s="27">
        <f>O95</f>
        <v>6.0000000000000006E-4</v>
      </c>
      <c r="BH95" s="27">
        <f>G95*AO95</f>
        <v>0</v>
      </c>
      <c r="BI95" s="27">
        <f>G95*AP95</f>
        <v>0</v>
      </c>
      <c r="BJ95" s="27">
        <f>G95*H95</f>
        <v>0</v>
      </c>
      <c r="BK95" s="27"/>
      <c r="BL95" s="27">
        <v>767</v>
      </c>
      <c r="BW95" s="27">
        <f>I95</f>
        <v>12</v>
      </c>
      <c r="BX95" s="4" t="s">
        <v>317</v>
      </c>
    </row>
    <row r="96" spans="1:76" ht="15" customHeight="1">
      <c r="A96" s="26" t="s">
        <v>318</v>
      </c>
      <c r="B96" s="3"/>
      <c r="C96" s="3" t="s">
        <v>319</v>
      </c>
      <c r="D96" s="58" t="s">
        <v>320</v>
      </c>
      <c r="E96" s="58"/>
      <c r="F96" s="3" t="s">
        <v>312</v>
      </c>
      <c r="G96" s="27">
        <v>10</v>
      </c>
      <c r="H96" s="27"/>
      <c r="I96" s="28">
        <v>12</v>
      </c>
      <c r="J96" s="27">
        <f>ROUND(G96*AO96,2)</f>
        <v>0</v>
      </c>
      <c r="K96" s="27">
        <f>ROUND(G96*AP96,2)</f>
        <v>0</v>
      </c>
      <c r="L96" s="27">
        <f>ROUND(G96*H96,2)</f>
        <v>0</v>
      </c>
      <c r="M96" s="27">
        <f>L96*(1+BW96/100)</f>
        <v>0</v>
      </c>
      <c r="N96" s="27">
        <v>6.0000000000000002E-5</v>
      </c>
      <c r="O96" s="27">
        <f>G96*N96</f>
        <v>6.0000000000000006E-4</v>
      </c>
      <c r="P96" s="29" t="s">
        <v>60</v>
      </c>
      <c r="Z96" s="27">
        <f>ROUND(IF(AQ96="5",BJ96,0),2)</f>
        <v>0</v>
      </c>
      <c r="AB96" s="27">
        <f>ROUND(IF(AQ96="1",BH96,0),2)</f>
        <v>0</v>
      </c>
      <c r="AC96" s="27">
        <f>ROUND(IF(AQ96="1",BI96,0),2)</f>
        <v>0</v>
      </c>
      <c r="AD96" s="27">
        <f>ROUND(IF(AQ96="7",BH96,0),2)</f>
        <v>0</v>
      </c>
      <c r="AE96" s="27">
        <f>ROUND(IF(AQ96="7",BI96,0),2)</f>
        <v>0</v>
      </c>
      <c r="AF96" s="27">
        <f>ROUND(IF(AQ96="2",BH96,0),2)</f>
        <v>0</v>
      </c>
      <c r="AG96" s="27">
        <f>ROUND(IF(AQ96="2",BI96,0),2)</f>
        <v>0</v>
      </c>
      <c r="AH96" s="27">
        <f>ROUND(IF(AQ96="0",BJ96,0),2)</f>
        <v>0</v>
      </c>
      <c r="AI96" s="13"/>
      <c r="AJ96" s="27">
        <f>IF(AN96=0,L96,0)</f>
        <v>0</v>
      </c>
      <c r="AK96" s="27">
        <f>IF(AN96=12,L96,0)</f>
        <v>0</v>
      </c>
      <c r="AL96" s="27">
        <f>IF(AN96=21,L96,0)</f>
        <v>0</v>
      </c>
      <c r="AN96" s="27">
        <v>12</v>
      </c>
      <c r="AO96" s="27">
        <f>H96*0.070813743</f>
        <v>0</v>
      </c>
      <c r="AP96" s="27">
        <f>H96*(1-0.070813743)</f>
        <v>0</v>
      </c>
      <c r="AQ96" s="30" t="s">
        <v>61</v>
      </c>
      <c r="AV96" s="27">
        <f>ROUND(AW96+AX96,2)</f>
        <v>0</v>
      </c>
      <c r="AW96" s="27">
        <f>ROUND(G96*AO96,2)</f>
        <v>0</v>
      </c>
      <c r="AX96" s="27">
        <f>ROUND(G96*AP96,2)</f>
        <v>0</v>
      </c>
      <c r="AY96" s="30" t="s">
        <v>313</v>
      </c>
      <c r="AZ96" s="30" t="s">
        <v>314</v>
      </c>
      <c r="BA96" s="13" t="s">
        <v>64</v>
      </c>
      <c r="BC96" s="27">
        <f>AW96+AX96</f>
        <v>0</v>
      </c>
      <c r="BD96" s="27">
        <f>H96/(100-BE96)*100</f>
        <v>0</v>
      </c>
      <c r="BE96" s="27">
        <v>0</v>
      </c>
      <c r="BF96" s="27">
        <f>O96</f>
        <v>6.0000000000000006E-4</v>
      </c>
      <c r="BH96" s="27">
        <f>G96*AO96</f>
        <v>0</v>
      </c>
      <c r="BI96" s="27">
        <f>G96*AP96</f>
        <v>0</v>
      </c>
      <c r="BJ96" s="27">
        <f>G96*H96</f>
        <v>0</v>
      </c>
      <c r="BK96" s="27"/>
      <c r="BL96" s="27">
        <v>767</v>
      </c>
      <c r="BW96" s="27">
        <f>I96</f>
        <v>12</v>
      </c>
      <c r="BX96" s="4" t="s">
        <v>320</v>
      </c>
    </row>
    <row r="97" spans="1:76" ht="15" customHeight="1">
      <c r="A97" s="22"/>
      <c r="B97" s="23"/>
      <c r="C97" s="23" t="s">
        <v>321</v>
      </c>
      <c r="D97" s="59" t="s">
        <v>322</v>
      </c>
      <c r="E97" s="59"/>
      <c r="F97" s="24" t="s">
        <v>4</v>
      </c>
      <c r="G97" s="24" t="s">
        <v>4</v>
      </c>
      <c r="H97" s="24"/>
      <c r="I97" s="24" t="s">
        <v>4</v>
      </c>
      <c r="J97" s="6">
        <f>SUM(J98:J99)</f>
        <v>0</v>
      </c>
      <c r="K97" s="6">
        <f>SUM(K98:K99)</f>
        <v>0</v>
      </c>
      <c r="L97" s="6">
        <f>SUM(L98:L99)</f>
        <v>0</v>
      </c>
      <c r="M97" s="6">
        <f>SUM(M98:M99)</f>
        <v>0</v>
      </c>
      <c r="N97" s="13"/>
      <c r="O97" s="6">
        <f>SUM(O98:O99)</f>
        <v>2.3300000000000005E-3</v>
      </c>
      <c r="P97" s="25"/>
      <c r="AI97" s="13"/>
      <c r="AS97" s="6">
        <f>SUM(AJ98:AJ99)</f>
        <v>0</v>
      </c>
      <c r="AT97" s="6">
        <f>SUM(AK98:AK99)</f>
        <v>0</v>
      </c>
      <c r="AU97" s="6">
        <f>SUM(AL98:AL99)</f>
        <v>0</v>
      </c>
    </row>
    <row r="98" spans="1:76" ht="15" customHeight="1">
      <c r="A98" s="26" t="s">
        <v>323</v>
      </c>
      <c r="B98" s="3"/>
      <c r="C98" s="3" t="s">
        <v>324</v>
      </c>
      <c r="D98" s="58" t="s">
        <v>325</v>
      </c>
      <c r="E98" s="58"/>
      <c r="F98" s="3" t="s">
        <v>70</v>
      </c>
      <c r="G98" s="27">
        <v>35</v>
      </c>
      <c r="H98" s="27"/>
      <c r="I98" s="28">
        <v>12</v>
      </c>
      <c r="J98" s="27">
        <f>ROUND(G98*AO98,2)</f>
        <v>0</v>
      </c>
      <c r="K98" s="27">
        <f>ROUND(G98*AP98,2)</f>
        <v>0</v>
      </c>
      <c r="L98" s="27">
        <f>ROUND(G98*H98,2)</f>
        <v>0</v>
      </c>
      <c r="M98" s="27">
        <f>L98*(1+BW98/100)</f>
        <v>0</v>
      </c>
      <c r="N98" s="27">
        <v>4.0000000000000003E-5</v>
      </c>
      <c r="O98" s="27">
        <f>G98*N98</f>
        <v>1.4000000000000002E-3</v>
      </c>
      <c r="P98" s="29" t="s">
        <v>60</v>
      </c>
      <c r="Z98" s="27">
        <f>ROUND(IF(AQ98="5",BJ98,0),2)</f>
        <v>0</v>
      </c>
      <c r="AB98" s="27">
        <f>ROUND(IF(AQ98="1",BH98,0),2)</f>
        <v>0</v>
      </c>
      <c r="AC98" s="27">
        <f>ROUND(IF(AQ98="1",BI98,0),2)</f>
        <v>0</v>
      </c>
      <c r="AD98" s="27">
        <f>ROUND(IF(AQ98="7",BH98,0),2)</f>
        <v>0</v>
      </c>
      <c r="AE98" s="27">
        <f>ROUND(IF(AQ98="7",BI98,0),2)</f>
        <v>0</v>
      </c>
      <c r="AF98" s="27">
        <f>ROUND(IF(AQ98="2",BH98,0),2)</f>
        <v>0</v>
      </c>
      <c r="AG98" s="27">
        <f>ROUND(IF(AQ98="2",BI98,0),2)</f>
        <v>0</v>
      </c>
      <c r="AH98" s="27">
        <f>ROUND(IF(AQ98="0",BJ98,0),2)</f>
        <v>0</v>
      </c>
      <c r="AI98" s="13"/>
      <c r="AJ98" s="27">
        <f>IF(AN98=0,L98,0)</f>
        <v>0</v>
      </c>
      <c r="AK98" s="27">
        <f>IF(AN98=12,L98,0)</f>
        <v>0</v>
      </c>
      <c r="AL98" s="27">
        <f>IF(AN98=21,L98,0)</f>
        <v>0</v>
      </c>
      <c r="AN98" s="27">
        <v>12</v>
      </c>
      <c r="AO98" s="27">
        <f>H98*0.358318099</f>
        <v>0</v>
      </c>
      <c r="AP98" s="27">
        <f>H98*(1-0.358318099)</f>
        <v>0</v>
      </c>
      <c r="AQ98" s="30" t="s">
        <v>61</v>
      </c>
      <c r="AV98" s="27">
        <f>ROUND(AW98+AX98,2)</f>
        <v>0</v>
      </c>
      <c r="AW98" s="27">
        <f>ROUND(G98*AO98,2)</f>
        <v>0</v>
      </c>
      <c r="AX98" s="27">
        <f>ROUND(G98*AP98,2)</f>
        <v>0</v>
      </c>
      <c r="AY98" s="30" t="s">
        <v>326</v>
      </c>
      <c r="AZ98" s="30" t="s">
        <v>327</v>
      </c>
      <c r="BA98" s="13" t="s">
        <v>64</v>
      </c>
      <c r="BC98" s="27">
        <f>AW98+AX98</f>
        <v>0</v>
      </c>
      <c r="BD98" s="27">
        <f>H98/(100-BE98)*100</f>
        <v>0</v>
      </c>
      <c r="BE98" s="27">
        <v>0</v>
      </c>
      <c r="BF98" s="27">
        <f>O98</f>
        <v>1.4000000000000002E-3</v>
      </c>
      <c r="BH98" s="27">
        <f>G98*AO98</f>
        <v>0</v>
      </c>
      <c r="BI98" s="27">
        <f>G98*AP98</f>
        <v>0</v>
      </c>
      <c r="BJ98" s="27">
        <f>G98*H98</f>
        <v>0</v>
      </c>
      <c r="BK98" s="27"/>
      <c r="BL98" s="27">
        <v>783</v>
      </c>
      <c r="BW98" s="27">
        <f>I98</f>
        <v>12</v>
      </c>
      <c r="BX98" s="4" t="s">
        <v>325</v>
      </c>
    </row>
    <row r="99" spans="1:76" ht="15" customHeight="1">
      <c r="A99" s="26" t="s">
        <v>328</v>
      </c>
      <c r="B99" s="3"/>
      <c r="C99" s="3" t="s">
        <v>329</v>
      </c>
      <c r="D99" s="58" t="s">
        <v>330</v>
      </c>
      <c r="E99" s="58"/>
      <c r="F99" s="3" t="s">
        <v>59</v>
      </c>
      <c r="G99" s="27">
        <v>3</v>
      </c>
      <c r="H99" s="27"/>
      <c r="I99" s="28">
        <v>12</v>
      </c>
      <c r="J99" s="27">
        <f>ROUND(G99*AO99,2)</f>
        <v>0</v>
      </c>
      <c r="K99" s="27">
        <f>ROUND(G99*AP99,2)</f>
        <v>0</v>
      </c>
      <c r="L99" s="27">
        <f>ROUND(G99*H99,2)</f>
        <v>0</v>
      </c>
      <c r="M99" s="27">
        <f>L99*(1+BW99/100)</f>
        <v>0</v>
      </c>
      <c r="N99" s="27">
        <v>3.1E-4</v>
      </c>
      <c r="O99" s="27">
        <f>G99*N99</f>
        <v>9.3000000000000005E-4</v>
      </c>
      <c r="P99" s="29" t="s">
        <v>60</v>
      </c>
      <c r="Z99" s="27">
        <f>ROUND(IF(AQ99="5",BJ99,0),2)</f>
        <v>0</v>
      </c>
      <c r="AB99" s="27">
        <f>ROUND(IF(AQ99="1",BH99,0),2)</f>
        <v>0</v>
      </c>
      <c r="AC99" s="27">
        <f>ROUND(IF(AQ99="1",BI99,0),2)</f>
        <v>0</v>
      </c>
      <c r="AD99" s="27">
        <f>ROUND(IF(AQ99="7",BH99,0),2)</f>
        <v>0</v>
      </c>
      <c r="AE99" s="27">
        <f>ROUND(IF(AQ99="7",BI99,0),2)</f>
        <v>0</v>
      </c>
      <c r="AF99" s="27">
        <f>ROUND(IF(AQ99="2",BH99,0),2)</f>
        <v>0</v>
      </c>
      <c r="AG99" s="27">
        <f>ROUND(IF(AQ99="2",BI99,0),2)</f>
        <v>0</v>
      </c>
      <c r="AH99" s="27">
        <f>ROUND(IF(AQ99="0",BJ99,0),2)</f>
        <v>0</v>
      </c>
      <c r="AI99" s="13"/>
      <c r="AJ99" s="27">
        <f>IF(AN99=0,L99,0)</f>
        <v>0</v>
      </c>
      <c r="AK99" s="27">
        <f>IF(AN99=12,L99,0)</f>
        <v>0</v>
      </c>
      <c r="AL99" s="27">
        <f>IF(AN99=21,L99,0)</f>
        <v>0</v>
      </c>
      <c r="AN99" s="27">
        <v>12</v>
      </c>
      <c r="AO99" s="27">
        <f>H99*0.18033389</f>
        <v>0</v>
      </c>
      <c r="AP99" s="27">
        <f>H99*(1-0.18033389)</f>
        <v>0</v>
      </c>
      <c r="AQ99" s="30" t="s">
        <v>61</v>
      </c>
      <c r="AV99" s="27">
        <f>ROUND(AW99+AX99,2)</f>
        <v>0</v>
      </c>
      <c r="AW99" s="27">
        <f>ROUND(G99*AO99,2)</f>
        <v>0</v>
      </c>
      <c r="AX99" s="27">
        <f>ROUND(G99*AP99,2)</f>
        <v>0</v>
      </c>
      <c r="AY99" s="30" t="s">
        <v>326</v>
      </c>
      <c r="AZ99" s="30" t="s">
        <v>327</v>
      </c>
      <c r="BA99" s="13" t="s">
        <v>64</v>
      </c>
      <c r="BC99" s="27">
        <f>AW99+AX99</f>
        <v>0</v>
      </c>
      <c r="BD99" s="27">
        <f>H99/(100-BE99)*100</f>
        <v>0</v>
      </c>
      <c r="BE99" s="27">
        <v>0</v>
      </c>
      <c r="BF99" s="27">
        <f>O99</f>
        <v>9.3000000000000005E-4</v>
      </c>
      <c r="BH99" s="27">
        <f>G99*AO99</f>
        <v>0</v>
      </c>
      <c r="BI99" s="27">
        <f>G99*AP99</f>
        <v>0</v>
      </c>
      <c r="BJ99" s="27">
        <f>G99*H99</f>
        <v>0</v>
      </c>
      <c r="BK99" s="27"/>
      <c r="BL99" s="27">
        <v>783</v>
      </c>
      <c r="BW99" s="27">
        <f>I99</f>
        <v>12</v>
      </c>
      <c r="BX99" s="4" t="s">
        <v>330</v>
      </c>
    </row>
    <row r="100" spans="1:76" ht="15" customHeight="1">
      <c r="A100" s="22"/>
      <c r="B100" s="23"/>
      <c r="C100" s="23" t="s">
        <v>331</v>
      </c>
      <c r="D100" s="59" t="s">
        <v>332</v>
      </c>
      <c r="E100" s="59"/>
      <c r="F100" s="24" t="s">
        <v>4</v>
      </c>
      <c r="G100" s="24" t="s">
        <v>4</v>
      </c>
      <c r="H100" s="24"/>
      <c r="I100" s="24" t="s">
        <v>4</v>
      </c>
      <c r="J100" s="6">
        <f>SUM(J101:J102)</f>
        <v>0</v>
      </c>
      <c r="K100" s="6">
        <f>SUM(K101:K102)</f>
        <v>0</v>
      </c>
      <c r="L100" s="6">
        <f>SUM(L101:L102)</f>
        <v>0</v>
      </c>
      <c r="M100" s="6">
        <f>SUM(M101:M102)</f>
        <v>0</v>
      </c>
      <c r="N100" s="13"/>
      <c r="O100" s="6">
        <f>SUM(O101:O102)</f>
        <v>0</v>
      </c>
      <c r="P100" s="25"/>
      <c r="AI100" s="13"/>
      <c r="AS100" s="6">
        <f>SUM(AJ101:AJ102)</f>
        <v>0</v>
      </c>
      <c r="AT100" s="6">
        <f>SUM(AK101:AK102)</f>
        <v>0</v>
      </c>
      <c r="AU100" s="6">
        <f>SUM(AL101:AL102)</f>
        <v>0</v>
      </c>
    </row>
    <row r="101" spans="1:76" ht="15" customHeight="1">
      <c r="A101" s="26" t="s">
        <v>333</v>
      </c>
      <c r="B101" s="3"/>
      <c r="C101" s="3" t="s">
        <v>334</v>
      </c>
      <c r="D101" s="58" t="s">
        <v>335</v>
      </c>
      <c r="E101" s="58"/>
      <c r="F101" s="3" t="s">
        <v>336</v>
      </c>
      <c r="G101" s="27">
        <v>24</v>
      </c>
      <c r="H101" s="27"/>
      <c r="I101" s="28">
        <v>12</v>
      </c>
      <c r="J101" s="27">
        <f>ROUND(G101*AO101,2)</f>
        <v>0</v>
      </c>
      <c r="K101" s="27">
        <f>ROUND(G101*AP101,2)</f>
        <v>0</v>
      </c>
      <c r="L101" s="27">
        <f>ROUND(G101*H101,2)</f>
        <v>0</v>
      </c>
      <c r="M101" s="27">
        <f>L101*(1+BW101/100)</f>
        <v>0</v>
      </c>
      <c r="N101" s="27">
        <v>0</v>
      </c>
      <c r="O101" s="27">
        <f>G101*N101</f>
        <v>0</v>
      </c>
      <c r="P101" s="29" t="s">
        <v>60</v>
      </c>
      <c r="Z101" s="27">
        <f>ROUND(IF(AQ101="5",BJ101,0),2)</f>
        <v>0</v>
      </c>
      <c r="AB101" s="27">
        <f>ROUND(IF(AQ101="1",BH101,0),2)</f>
        <v>0</v>
      </c>
      <c r="AC101" s="27">
        <f>ROUND(IF(AQ101="1",BI101,0),2)</f>
        <v>0</v>
      </c>
      <c r="AD101" s="27">
        <f>ROUND(IF(AQ101="7",BH101,0),2)</f>
        <v>0</v>
      </c>
      <c r="AE101" s="27">
        <f>ROUND(IF(AQ101="7",BI101,0),2)</f>
        <v>0</v>
      </c>
      <c r="AF101" s="27">
        <f>ROUND(IF(AQ101="2",BH101,0),2)</f>
        <v>0</v>
      </c>
      <c r="AG101" s="27">
        <f>ROUND(IF(AQ101="2",BI101,0),2)</f>
        <v>0</v>
      </c>
      <c r="AH101" s="27">
        <f>ROUND(IF(AQ101="0",BJ101,0),2)</f>
        <v>0</v>
      </c>
      <c r="AI101" s="13"/>
      <c r="AJ101" s="27">
        <f>IF(AN101=0,L101,0)</f>
        <v>0</v>
      </c>
      <c r="AK101" s="27">
        <f>IF(AN101=12,L101,0)</f>
        <v>0</v>
      </c>
      <c r="AL101" s="27">
        <f>IF(AN101=21,L101,0)</f>
        <v>0</v>
      </c>
      <c r="AN101" s="27">
        <v>12</v>
      </c>
      <c r="AO101" s="27">
        <f>H101*0</f>
        <v>0</v>
      </c>
      <c r="AP101" s="27">
        <f>H101*(1-0)</f>
        <v>0</v>
      </c>
      <c r="AQ101" s="30" t="s">
        <v>56</v>
      </c>
      <c r="AV101" s="27">
        <f>ROUND(AW101+AX101,2)</f>
        <v>0</v>
      </c>
      <c r="AW101" s="27">
        <f>ROUND(G101*AO101,2)</f>
        <v>0</v>
      </c>
      <c r="AX101" s="27">
        <f>ROUND(G101*AP101,2)</f>
        <v>0</v>
      </c>
      <c r="AY101" s="30" t="s">
        <v>337</v>
      </c>
      <c r="AZ101" s="30" t="s">
        <v>338</v>
      </c>
      <c r="BA101" s="13" t="s">
        <v>64</v>
      </c>
      <c r="BC101" s="27">
        <f>AW101+AX101</f>
        <v>0</v>
      </c>
      <c r="BD101" s="27">
        <f>H101/(100-BE101)*100</f>
        <v>0</v>
      </c>
      <c r="BE101" s="27">
        <v>0</v>
      </c>
      <c r="BF101" s="27">
        <f>O101</f>
        <v>0</v>
      </c>
      <c r="BH101" s="27">
        <f>G101*AO101</f>
        <v>0</v>
      </c>
      <c r="BI101" s="27">
        <f>G101*AP101</f>
        <v>0</v>
      </c>
      <c r="BJ101" s="27">
        <f>G101*H101</f>
        <v>0</v>
      </c>
      <c r="BK101" s="27"/>
      <c r="BL101" s="27">
        <v>90</v>
      </c>
      <c r="BW101" s="27">
        <f>I101</f>
        <v>12</v>
      </c>
      <c r="BX101" s="4" t="s">
        <v>335</v>
      </c>
    </row>
    <row r="102" spans="1:76" ht="15" customHeight="1">
      <c r="A102" s="26" t="s">
        <v>339</v>
      </c>
      <c r="B102" s="3"/>
      <c r="C102" s="3" t="s">
        <v>340</v>
      </c>
      <c r="D102" s="58" t="s">
        <v>341</v>
      </c>
      <c r="E102" s="58"/>
      <c r="F102" s="3" t="s">
        <v>336</v>
      </c>
      <c r="G102" s="27">
        <v>16</v>
      </c>
      <c r="H102" s="27"/>
      <c r="I102" s="28">
        <v>12</v>
      </c>
      <c r="J102" s="27">
        <f>ROUND(G102*AO102,2)</f>
        <v>0</v>
      </c>
      <c r="K102" s="27">
        <f>ROUND(G102*AP102,2)</f>
        <v>0</v>
      </c>
      <c r="L102" s="27">
        <f>ROUND(G102*H102,2)</f>
        <v>0</v>
      </c>
      <c r="M102" s="27">
        <f>L102*(1+BW102/100)</f>
        <v>0</v>
      </c>
      <c r="N102" s="27">
        <v>0</v>
      </c>
      <c r="O102" s="27">
        <f>G102*N102</f>
        <v>0</v>
      </c>
      <c r="P102" s="29" t="s">
        <v>60</v>
      </c>
      <c r="Z102" s="27">
        <f>ROUND(IF(AQ102="5",BJ102,0),2)</f>
        <v>0</v>
      </c>
      <c r="AB102" s="27">
        <f>ROUND(IF(AQ102="1",BH102,0),2)</f>
        <v>0</v>
      </c>
      <c r="AC102" s="27">
        <f>ROUND(IF(AQ102="1",BI102,0),2)</f>
        <v>0</v>
      </c>
      <c r="AD102" s="27">
        <f>ROUND(IF(AQ102="7",BH102,0),2)</f>
        <v>0</v>
      </c>
      <c r="AE102" s="27">
        <f>ROUND(IF(AQ102="7",BI102,0),2)</f>
        <v>0</v>
      </c>
      <c r="AF102" s="27">
        <f>ROUND(IF(AQ102="2",BH102,0),2)</f>
        <v>0</v>
      </c>
      <c r="AG102" s="27">
        <f>ROUND(IF(AQ102="2",BI102,0),2)</f>
        <v>0</v>
      </c>
      <c r="AH102" s="27">
        <f>ROUND(IF(AQ102="0",BJ102,0),2)</f>
        <v>0</v>
      </c>
      <c r="AI102" s="13"/>
      <c r="AJ102" s="27">
        <f>IF(AN102=0,L102,0)</f>
        <v>0</v>
      </c>
      <c r="AK102" s="27">
        <f>IF(AN102=12,L102,0)</f>
        <v>0</v>
      </c>
      <c r="AL102" s="27">
        <f>IF(AN102=21,L102,0)</f>
        <v>0</v>
      </c>
      <c r="AN102" s="27">
        <v>12</v>
      </c>
      <c r="AO102" s="27">
        <f>H102*0</f>
        <v>0</v>
      </c>
      <c r="AP102" s="27">
        <f>H102*(1-0)</f>
        <v>0</v>
      </c>
      <c r="AQ102" s="30" t="s">
        <v>56</v>
      </c>
      <c r="AV102" s="27">
        <f>ROUND(AW102+AX102,2)</f>
        <v>0</v>
      </c>
      <c r="AW102" s="27">
        <f>ROUND(G102*AO102,2)</f>
        <v>0</v>
      </c>
      <c r="AX102" s="27">
        <f>ROUND(G102*AP102,2)</f>
        <v>0</v>
      </c>
      <c r="AY102" s="30" t="s">
        <v>337</v>
      </c>
      <c r="AZ102" s="30" t="s">
        <v>338</v>
      </c>
      <c r="BA102" s="13" t="s">
        <v>64</v>
      </c>
      <c r="BC102" s="27">
        <f>AW102+AX102</f>
        <v>0</v>
      </c>
      <c r="BD102" s="27">
        <f>H102/(100-BE102)*100</f>
        <v>0</v>
      </c>
      <c r="BE102" s="27">
        <v>0</v>
      </c>
      <c r="BF102" s="27">
        <f>O102</f>
        <v>0</v>
      </c>
      <c r="BH102" s="27">
        <f>G102*AO102</f>
        <v>0</v>
      </c>
      <c r="BI102" s="27">
        <f>G102*AP102</f>
        <v>0</v>
      </c>
      <c r="BJ102" s="27">
        <f>G102*H102</f>
        <v>0</v>
      </c>
      <c r="BK102" s="27"/>
      <c r="BL102" s="27">
        <v>90</v>
      </c>
      <c r="BW102" s="27">
        <f>I102</f>
        <v>12</v>
      </c>
      <c r="BX102" s="4" t="s">
        <v>341</v>
      </c>
    </row>
    <row r="103" spans="1:76" ht="15" customHeight="1">
      <c r="A103" s="22"/>
      <c r="B103" s="23"/>
      <c r="C103" s="23" t="s">
        <v>342</v>
      </c>
      <c r="D103" s="59" t="s">
        <v>343</v>
      </c>
      <c r="E103" s="59"/>
      <c r="F103" s="24" t="s">
        <v>4</v>
      </c>
      <c r="G103" s="24" t="s">
        <v>4</v>
      </c>
      <c r="H103" s="24"/>
      <c r="I103" s="24" t="s">
        <v>4</v>
      </c>
      <c r="J103" s="6">
        <f>SUM(J104:J104)</f>
        <v>0</v>
      </c>
      <c r="K103" s="6">
        <f>SUM(K104:K104)</f>
        <v>0</v>
      </c>
      <c r="L103" s="6">
        <f>SUM(L104:L104)</f>
        <v>0</v>
      </c>
      <c r="M103" s="6">
        <f>SUM(M104:M104)</f>
        <v>0</v>
      </c>
      <c r="N103" s="13"/>
      <c r="O103" s="6">
        <f>SUM(O104:O104)</f>
        <v>0</v>
      </c>
      <c r="P103" s="25"/>
      <c r="AI103" s="13"/>
      <c r="AS103" s="6">
        <f>SUM(AJ104:AJ104)</f>
        <v>0</v>
      </c>
      <c r="AT103" s="6">
        <f>SUM(AK104:AK104)</f>
        <v>0</v>
      </c>
      <c r="AU103" s="6">
        <f>SUM(AL104:AL104)</f>
        <v>0</v>
      </c>
    </row>
    <row r="104" spans="1:76" ht="15" customHeight="1">
      <c r="A104" s="31" t="s">
        <v>344</v>
      </c>
      <c r="B104" s="32"/>
      <c r="C104" s="32" t="s">
        <v>345</v>
      </c>
      <c r="D104" s="60" t="s">
        <v>346</v>
      </c>
      <c r="E104" s="60"/>
      <c r="F104" s="32" t="s">
        <v>87</v>
      </c>
      <c r="G104" s="33">
        <v>1</v>
      </c>
      <c r="H104" s="33"/>
      <c r="I104" s="34">
        <v>12</v>
      </c>
      <c r="J104" s="33">
        <f>ROUND(G104*AO104,2)</f>
        <v>0</v>
      </c>
      <c r="K104" s="33">
        <f>ROUND(G104*AP104,2)</f>
        <v>0</v>
      </c>
      <c r="L104" s="33">
        <f>ROUND(G104*H104,2)</f>
        <v>0</v>
      </c>
      <c r="M104" s="33">
        <f>L104*(1+BW104/100)</f>
        <v>0</v>
      </c>
      <c r="N104" s="33">
        <v>0</v>
      </c>
      <c r="O104" s="33">
        <f>G104*N104</f>
        <v>0</v>
      </c>
      <c r="P104" s="35" t="s">
        <v>60</v>
      </c>
      <c r="Z104" s="27">
        <f>ROUND(IF(AQ104="5",BJ104,0),2)</f>
        <v>0</v>
      </c>
      <c r="AB104" s="27">
        <f>ROUND(IF(AQ104="1",BH104,0),2)</f>
        <v>0</v>
      </c>
      <c r="AC104" s="27">
        <f>ROUND(IF(AQ104="1",BI104,0),2)</f>
        <v>0</v>
      </c>
      <c r="AD104" s="27">
        <f>ROUND(IF(AQ104="7",BH104,0),2)</f>
        <v>0</v>
      </c>
      <c r="AE104" s="27">
        <f>ROUND(IF(AQ104="7",BI104,0),2)</f>
        <v>0</v>
      </c>
      <c r="AF104" s="27">
        <f>ROUND(IF(AQ104="2",BH104,0),2)</f>
        <v>0</v>
      </c>
      <c r="AG104" s="27">
        <f>ROUND(IF(AQ104="2",BI104,0),2)</f>
        <v>0</v>
      </c>
      <c r="AH104" s="27">
        <f>ROUND(IF(AQ104="0",BJ104,0),2)</f>
        <v>0</v>
      </c>
      <c r="AI104" s="13"/>
      <c r="AJ104" s="27">
        <f>IF(AN104=0,L104,0)</f>
        <v>0</v>
      </c>
      <c r="AK104" s="27">
        <f>IF(AN104=12,L104,0)</f>
        <v>0</v>
      </c>
      <c r="AL104" s="27">
        <f>IF(AN104=21,L104,0)</f>
        <v>0</v>
      </c>
      <c r="AN104" s="27">
        <v>12</v>
      </c>
      <c r="AO104" s="27">
        <f>H104*0</f>
        <v>0</v>
      </c>
      <c r="AP104" s="27">
        <f>H104*(1-0)</f>
        <v>0</v>
      </c>
      <c r="AQ104" s="30" t="s">
        <v>67</v>
      </c>
      <c r="AV104" s="27">
        <f>ROUND(AW104+AX104,2)</f>
        <v>0</v>
      </c>
      <c r="AW104" s="27">
        <f>ROUND(G104*AO104,2)</f>
        <v>0</v>
      </c>
      <c r="AX104" s="27">
        <f>ROUND(G104*AP104,2)</f>
        <v>0</v>
      </c>
      <c r="AY104" s="30" t="s">
        <v>347</v>
      </c>
      <c r="AZ104" s="30" t="s">
        <v>338</v>
      </c>
      <c r="BA104" s="13" t="s">
        <v>64</v>
      </c>
      <c r="BC104" s="27">
        <f>AW104+AX104</f>
        <v>0</v>
      </c>
      <c r="BD104" s="27">
        <f>H104/(100-BE104)*100</f>
        <v>0</v>
      </c>
      <c r="BE104" s="27">
        <v>0</v>
      </c>
      <c r="BF104" s="27">
        <f>O104</f>
        <v>0</v>
      </c>
      <c r="BH104" s="27">
        <f>G104*AO104</f>
        <v>0</v>
      </c>
      <c r="BI104" s="27">
        <f>G104*AP104</f>
        <v>0</v>
      </c>
      <c r="BJ104" s="27">
        <f>G104*H104</f>
        <v>0</v>
      </c>
      <c r="BK104" s="27"/>
      <c r="BL104" s="27"/>
      <c r="BW104" s="27">
        <f>I104</f>
        <v>12</v>
      </c>
      <c r="BX104" s="4" t="s">
        <v>346</v>
      </c>
    </row>
    <row r="105" spans="1:76">
      <c r="J105" s="61" t="s">
        <v>348</v>
      </c>
      <c r="K105" s="61"/>
      <c r="L105" s="36">
        <f>ROUND(L12+L14+L19+L37+L63+L72+L93+L97+L100+L103,2)</f>
        <v>0</v>
      </c>
      <c r="M105" s="36">
        <f>ROUND(M12+M14+M19+M37+M63+M72+M93+M97+M100+M103,2)</f>
        <v>0</v>
      </c>
    </row>
    <row r="106" spans="1:76">
      <c r="A106" s="37" t="s">
        <v>349</v>
      </c>
    </row>
    <row r="107" spans="1:76" ht="12.75" customHeight="1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</row>
  </sheetData>
  <mergeCells count="124">
    <mergeCell ref="A1:P1"/>
    <mergeCell ref="A2:C3"/>
    <mergeCell ref="D2:E3"/>
    <mergeCell ref="F2:G3"/>
    <mergeCell ref="H2:H3"/>
    <mergeCell ref="I2:I3"/>
    <mergeCell ref="J2:P3"/>
    <mergeCell ref="A4:C5"/>
    <mergeCell ref="D4:E5"/>
    <mergeCell ref="F4:G5"/>
    <mergeCell ref="H4:H5"/>
    <mergeCell ref="I4:I5"/>
    <mergeCell ref="J4:P5"/>
    <mergeCell ref="A6:C7"/>
    <mergeCell ref="D6:E7"/>
    <mergeCell ref="F6:G7"/>
    <mergeCell ref="H6:H7"/>
    <mergeCell ref="I6:I7"/>
    <mergeCell ref="J6:P7"/>
    <mergeCell ref="A8:C9"/>
    <mergeCell ref="D8:E9"/>
    <mergeCell ref="F8:G9"/>
    <mergeCell ref="H8:H9"/>
    <mergeCell ref="I8:I9"/>
    <mergeCell ref="J8:P9"/>
    <mergeCell ref="D10:E10"/>
    <mergeCell ref="J10:L10"/>
    <mergeCell ref="N10:O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D71:E71"/>
    <mergeCell ref="D72:E72"/>
    <mergeCell ref="D73:E73"/>
    <mergeCell ref="D74:E74"/>
    <mergeCell ref="D75:E75"/>
    <mergeCell ref="D76:E76"/>
    <mergeCell ref="D77:E77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87:E87"/>
    <mergeCell ref="D88:E88"/>
    <mergeCell ref="D89:E89"/>
    <mergeCell ref="D90:E90"/>
    <mergeCell ref="D91:E91"/>
    <mergeCell ref="D92:E92"/>
    <mergeCell ref="D93:E93"/>
    <mergeCell ref="D94:E94"/>
    <mergeCell ref="D95:E95"/>
    <mergeCell ref="D96:E96"/>
    <mergeCell ref="D97:E97"/>
    <mergeCell ref="D98:E98"/>
    <mergeCell ref="D99:E99"/>
    <mergeCell ref="D100:E100"/>
    <mergeCell ref="D101:E101"/>
    <mergeCell ref="D102:E102"/>
    <mergeCell ref="D103:E103"/>
    <mergeCell ref="D104:E104"/>
    <mergeCell ref="J105:K105"/>
    <mergeCell ref="A107:P107"/>
  </mergeCells>
  <pageMargins left="0.39374999999999999" right="0.39374999999999999" top="0.59097222222222201" bottom="0.59097222222222201" header="0.511811023622047" footer="0.511811023622047"/>
  <pageSetup fitToHeight="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zoomScaleNormal="100" workbookViewId="0">
      <selection activeCell="A37" sqref="A37:I37"/>
    </sheetView>
  </sheetViews>
  <sheetFormatPr defaultColWidth="12.140625" defaultRowHeight="15"/>
  <cols>
    <col min="1" max="1" width="9.140625" style="5" customWidth="1"/>
    <col min="2" max="2" width="12.85546875" style="5" customWidth="1"/>
    <col min="3" max="3" width="27.140625" style="5" customWidth="1"/>
    <col min="4" max="4" width="10" style="5" customWidth="1"/>
    <col min="5" max="5" width="14" style="5" customWidth="1"/>
    <col min="6" max="6" width="27.140625" style="5" customWidth="1"/>
    <col min="7" max="7" width="9.140625" style="5" customWidth="1"/>
    <col min="8" max="8" width="12.85546875" style="5" customWidth="1"/>
    <col min="9" max="9" width="27.140625" style="5" customWidth="1"/>
  </cols>
  <sheetData>
    <row r="1" spans="1:9" ht="54.75" customHeight="1">
      <c r="A1" s="99" t="s">
        <v>350</v>
      </c>
      <c r="B1" s="99"/>
      <c r="C1" s="99"/>
      <c r="D1" s="99"/>
      <c r="E1" s="99"/>
      <c r="F1" s="99"/>
      <c r="G1" s="99"/>
      <c r="H1" s="99"/>
      <c r="I1" s="99"/>
    </row>
    <row r="2" spans="1:9" ht="15" customHeight="1">
      <c r="A2" s="71" t="s">
        <v>1</v>
      </c>
      <c r="B2" s="71"/>
      <c r="C2" s="72" t="str">
        <f>'Stavební rozpočet'!D2</f>
        <v>Výměna zdroje tepla v objektu ul. Hasičská 339/34</v>
      </c>
      <c r="D2" s="72"/>
      <c r="E2" s="74" t="s">
        <v>5</v>
      </c>
      <c r="F2" s="74" t="str">
        <f>'Stavební rozpočet'!J2</f>
        <v> </v>
      </c>
      <c r="G2" s="74"/>
      <c r="H2" s="74" t="s">
        <v>351</v>
      </c>
      <c r="I2" s="75"/>
    </row>
    <row r="3" spans="1:9" ht="15" customHeight="1">
      <c r="A3" s="71"/>
      <c r="B3" s="71"/>
      <c r="C3" s="72"/>
      <c r="D3" s="72"/>
      <c r="E3" s="74"/>
      <c r="F3" s="74"/>
      <c r="G3" s="74"/>
      <c r="H3" s="74"/>
      <c r="I3" s="75"/>
    </row>
    <row r="4" spans="1:9" ht="15" customHeight="1">
      <c r="A4" s="66" t="s">
        <v>7</v>
      </c>
      <c r="B4" s="66"/>
      <c r="C4" s="58" t="str">
        <f>'Stavební rozpočet'!D4</f>
        <v>Hasičská zbrojnice</v>
      </c>
      <c r="D4" s="58"/>
      <c r="E4" s="58" t="s">
        <v>11</v>
      </c>
      <c r="F4" s="58" t="str">
        <f>'Stavební rozpočet'!J4</f>
        <v> </v>
      </c>
      <c r="G4" s="58"/>
      <c r="H4" s="58" t="s">
        <v>351</v>
      </c>
      <c r="I4" s="68"/>
    </row>
    <row r="5" spans="1:9" ht="15" customHeight="1">
      <c r="A5" s="66"/>
      <c r="B5" s="66"/>
      <c r="C5" s="58"/>
      <c r="D5" s="58"/>
      <c r="E5" s="58"/>
      <c r="F5" s="58"/>
      <c r="G5" s="58"/>
      <c r="H5" s="58"/>
      <c r="I5" s="68"/>
    </row>
    <row r="6" spans="1:9" ht="15" customHeight="1">
      <c r="A6" s="66" t="s">
        <v>12</v>
      </c>
      <c r="B6" s="66"/>
      <c r="C6" s="58" t="str">
        <f>'Stavební rozpočet'!D6</f>
        <v>Ostrava - Hrabůvka</v>
      </c>
      <c r="D6" s="58"/>
      <c r="E6" s="58" t="s">
        <v>15</v>
      </c>
      <c r="F6" s="58" t="str">
        <f>'Stavební rozpočet'!J6</f>
        <v> </v>
      </c>
      <c r="G6" s="58"/>
      <c r="H6" s="58" t="s">
        <v>351</v>
      </c>
      <c r="I6" s="68"/>
    </row>
    <row r="7" spans="1:9" ht="15" customHeight="1">
      <c r="A7" s="66"/>
      <c r="B7" s="66"/>
      <c r="C7" s="58"/>
      <c r="D7" s="58"/>
      <c r="E7" s="58"/>
      <c r="F7" s="58"/>
      <c r="G7" s="58"/>
      <c r="H7" s="58"/>
      <c r="I7" s="68"/>
    </row>
    <row r="8" spans="1:9" ht="15" customHeight="1">
      <c r="A8" s="66" t="s">
        <v>9</v>
      </c>
      <c r="B8" s="66"/>
      <c r="C8" s="58" t="str">
        <f>'Stavební rozpočet'!H4</f>
        <v>31.03.2025</v>
      </c>
      <c r="D8" s="58"/>
      <c r="E8" s="58" t="s">
        <v>14</v>
      </c>
      <c r="F8" s="58" t="str">
        <f>'Stavební rozpočet'!H6</f>
        <v xml:space="preserve"> </v>
      </c>
      <c r="G8" s="58"/>
      <c r="H8" s="67" t="s">
        <v>352</v>
      </c>
      <c r="I8" s="95">
        <v>83</v>
      </c>
    </row>
    <row r="9" spans="1:9" ht="12.75">
      <c r="A9" s="66"/>
      <c r="B9" s="66"/>
      <c r="C9" s="58"/>
      <c r="D9" s="58"/>
      <c r="E9" s="58"/>
      <c r="F9" s="58"/>
      <c r="G9" s="58"/>
      <c r="H9" s="67"/>
      <c r="I9" s="95"/>
    </row>
    <row r="10" spans="1:9" ht="15" customHeight="1">
      <c r="A10" s="96" t="s">
        <v>16</v>
      </c>
      <c r="B10" s="96"/>
      <c r="C10" s="60" t="str">
        <f>'Stavební rozpočet'!D8</f>
        <v xml:space="preserve"> </v>
      </c>
      <c r="D10" s="60"/>
      <c r="E10" s="60" t="s">
        <v>18</v>
      </c>
      <c r="F10" s="60" t="str">
        <f>'Stavební rozpočet'!J8</f>
        <v>L. Strakoš</v>
      </c>
      <c r="G10" s="60"/>
      <c r="H10" s="97" t="s">
        <v>353</v>
      </c>
      <c r="I10" s="98" t="str">
        <f>'Stavební rozpočet'!H8</f>
        <v>31.03.2025</v>
      </c>
    </row>
    <row r="11" spans="1:9" ht="12.75">
      <c r="A11" s="96"/>
      <c r="B11" s="96"/>
      <c r="C11" s="60"/>
      <c r="D11" s="60"/>
      <c r="E11" s="60"/>
      <c r="F11" s="60"/>
      <c r="G11" s="60"/>
      <c r="H11" s="97"/>
      <c r="I11" s="98"/>
    </row>
    <row r="12" spans="1:9" ht="23.25">
      <c r="A12" s="93" t="s">
        <v>354</v>
      </c>
      <c r="B12" s="93"/>
      <c r="C12" s="93"/>
      <c r="D12" s="93"/>
      <c r="E12" s="93"/>
      <c r="F12" s="93"/>
      <c r="G12" s="93"/>
      <c r="H12" s="93"/>
      <c r="I12" s="93"/>
    </row>
    <row r="13" spans="1:9" ht="26.25" customHeight="1">
      <c r="A13" s="38" t="s">
        <v>355</v>
      </c>
      <c r="B13" s="94" t="s">
        <v>356</v>
      </c>
      <c r="C13" s="94"/>
      <c r="D13" s="39" t="s">
        <v>357</v>
      </c>
      <c r="E13" s="94" t="s">
        <v>358</v>
      </c>
      <c r="F13" s="94"/>
      <c r="G13" s="39" t="s">
        <v>359</v>
      </c>
      <c r="H13" s="94" t="s">
        <v>360</v>
      </c>
      <c r="I13" s="94"/>
    </row>
    <row r="14" spans="1:9" ht="15.75">
      <c r="A14" s="40" t="s">
        <v>361</v>
      </c>
      <c r="B14" s="41" t="s">
        <v>362</v>
      </c>
      <c r="C14" s="42">
        <f>SUM('Stavební rozpočet'!AB12:AB104)</f>
        <v>0</v>
      </c>
      <c r="D14" s="92" t="s">
        <v>363</v>
      </c>
      <c r="E14" s="92"/>
      <c r="F14" s="42">
        <f>VORN!I15</f>
        <v>0</v>
      </c>
      <c r="G14" s="92" t="s">
        <v>364</v>
      </c>
      <c r="H14" s="92"/>
      <c r="I14" s="42">
        <f>VORN!I21</f>
        <v>0</v>
      </c>
    </row>
    <row r="15" spans="1:9" ht="15.75">
      <c r="A15" s="43"/>
      <c r="B15" s="41" t="s">
        <v>37</v>
      </c>
      <c r="C15" s="42">
        <f>SUM('Stavební rozpočet'!AC12:AC104)</f>
        <v>0</v>
      </c>
      <c r="D15" s="92" t="s">
        <v>365</v>
      </c>
      <c r="E15" s="92"/>
      <c r="F15" s="42">
        <f>VORN!I16</f>
        <v>0</v>
      </c>
      <c r="G15" s="92" t="s">
        <v>366</v>
      </c>
      <c r="H15" s="92"/>
      <c r="I15" s="42">
        <f>VORN!I22</f>
        <v>0</v>
      </c>
    </row>
    <row r="16" spans="1:9" ht="15.75">
      <c r="A16" s="40" t="s">
        <v>367</v>
      </c>
      <c r="B16" s="41" t="s">
        <v>362</v>
      </c>
      <c r="C16" s="42">
        <f>SUM('Stavební rozpočet'!AD12:AD104)</f>
        <v>0</v>
      </c>
      <c r="D16" s="92" t="s">
        <v>368</v>
      </c>
      <c r="E16" s="92"/>
      <c r="F16" s="42">
        <f>VORN!I17</f>
        <v>0</v>
      </c>
      <c r="G16" s="92" t="s">
        <v>369</v>
      </c>
      <c r="H16" s="92"/>
      <c r="I16" s="42">
        <f>VORN!I23</f>
        <v>0</v>
      </c>
    </row>
    <row r="17" spans="1:9" ht="15.75">
      <c r="A17" s="43"/>
      <c r="B17" s="41" t="s">
        <v>37</v>
      </c>
      <c r="C17" s="42">
        <f>SUM('Stavební rozpočet'!AE12:AE104)</f>
        <v>0</v>
      </c>
      <c r="D17" s="92"/>
      <c r="E17" s="92"/>
      <c r="F17" s="44"/>
      <c r="G17" s="92" t="s">
        <v>370</v>
      </c>
      <c r="H17" s="92"/>
      <c r="I17" s="42">
        <f>VORN!I24</f>
        <v>0</v>
      </c>
    </row>
    <row r="18" spans="1:9" ht="15.75">
      <c r="A18" s="40" t="s">
        <v>371</v>
      </c>
      <c r="B18" s="41" t="s">
        <v>362</v>
      </c>
      <c r="C18" s="42">
        <f>SUM('Stavební rozpočet'!AF12:AF104)</f>
        <v>0</v>
      </c>
      <c r="D18" s="92"/>
      <c r="E18" s="92"/>
      <c r="F18" s="44"/>
      <c r="G18" s="92" t="s">
        <v>372</v>
      </c>
      <c r="H18" s="92"/>
      <c r="I18" s="42">
        <f>VORN!I25</f>
        <v>0</v>
      </c>
    </row>
    <row r="19" spans="1:9" ht="15.75">
      <c r="A19" s="43"/>
      <c r="B19" s="41" t="s">
        <v>37</v>
      </c>
      <c r="C19" s="42">
        <f>SUM('Stavební rozpočet'!AG12:AG104)</f>
        <v>0</v>
      </c>
      <c r="D19" s="92"/>
      <c r="E19" s="92"/>
      <c r="F19" s="44"/>
      <c r="G19" s="92" t="s">
        <v>373</v>
      </c>
      <c r="H19" s="92"/>
      <c r="I19" s="42">
        <f>VORN!I26</f>
        <v>0</v>
      </c>
    </row>
    <row r="20" spans="1:9" ht="15.75">
      <c r="A20" s="85" t="s">
        <v>374</v>
      </c>
      <c r="B20" s="85"/>
      <c r="C20" s="42">
        <f>SUM('Stavební rozpočet'!AH12:AH104)</f>
        <v>0</v>
      </c>
      <c r="D20" s="92"/>
      <c r="E20" s="92"/>
      <c r="F20" s="44"/>
      <c r="G20" s="92"/>
      <c r="H20" s="92"/>
      <c r="I20" s="44"/>
    </row>
    <row r="21" spans="1:9" ht="15.75">
      <c r="A21" s="88" t="s">
        <v>375</v>
      </c>
      <c r="B21" s="88"/>
      <c r="C21" s="45">
        <f>SUM('Stavební rozpočet'!Z12:Z104)</f>
        <v>0</v>
      </c>
      <c r="D21" s="89"/>
      <c r="E21" s="89"/>
      <c r="F21" s="46"/>
      <c r="G21" s="89"/>
      <c r="H21" s="89"/>
      <c r="I21" s="46"/>
    </row>
    <row r="22" spans="1:9" ht="16.5" customHeight="1">
      <c r="A22" s="90" t="s">
        <v>376</v>
      </c>
      <c r="B22" s="90"/>
      <c r="C22" s="47">
        <f>ROUND(SUM(C14:C21),2)</f>
        <v>0</v>
      </c>
      <c r="D22" s="91" t="s">
        <v>377</v>
      </c>
      <c r="E22" s="91"/>
      <c r="F22" s="47">
        <f>SUM(F14:F21)</f>
        <v>0</v>
      </c>
      <c r="G22" s="91" t="s">
        <v>378</v>
      </c>
      <c r="H22" s="91"/>
      <c r="I22" s="47">
        <f>SUM(I14:I21)</f>
        <v>0</v>
      </c>
    </row>
    <row r="23" spans="1:9" ht="15.75">
      <c r="D23" s="85" t="s">
        <v>379</v>
      </c>
      <c r="E23" s="85"/>
      <c r="F23" s="48">
        <v>0</v>
      </c>
      <c r="G23" s="86" t="s">
        <v>380</v>
      </c>
      <c r="H23" s="86"/>
      <c r="I23" s="42">
        <v>0</v>
      </c>
    </row>
    <row r="24" spans="1:9" ht="15.75">
      <c r="G24" s="85" t="s">
        <v>381</v>
      </c>
      <c r="H24" s="85"/>
      <c r="I24" s="42">
        <f>vorn_sum</f>
        <v>0</v>
      </c>
    </row>
    <row r="25" spans="1:9" ht="15.75">
      <c r="G25" s="85" t="s">
        <v>382</v>
      </c>
      <c r="H25" s="85"/>
      <c r="I25" s="42">
        <v>0</v>
      </c>
    </row>
    <row r="27" spans="1:9" ht="15.75">
      <c r="A27" s="87" t="s">
        <v>383</v>
      </c>
      <c r="B27" s="87"/>
      <c r="C27" s="49">
        <f>ROUND(SUM('Stavební rozpočet'!AJ12:AJ104),2)</f>
        <v>0</v>
      </c>
    </row>
    <row r="28" spans="1:9" ht="15.75">
      <c r="A28" s="82" t="s">
        <v>384</v>
      </c>
      <c r="B28" s="82"/>
      <c r="C28" s="50">
        <f>ROUND(SUM('Stavební rozpočet'!AK12:AK104)+(F22+I22+F23+I23+I24+I25),2)</f>
        <v>0</v>
      </c>
      <c r="D28" s="83" t="s">
        <v>385</v>
      </c>
      <c r="E28" s="83"/>
      <c r="F28" s="49">
        <f>ROUND(C28*(12/100),2)</f>
        <v>0</v>
      </c>
      <c r="G28" s="83" t="s">
        <v>386</v>
      </c>
      <c r="H28" s="83"/>
      <c r="I28" s="49">
        <f>ROUND(SUM(C27:C29),2)</f>
        <v>0</v>
      </c>
    </row>
    <row r="29" spans="1:9" ht="15.75">
      <c r="A29" s="82" t="s">
        <v>387</v>
      </c>
      <c r="B29" s="82"/>
      <c r="C29" s="50">
        <f>ROUND(SUM('Stavební rozpočet'!AL12:AL104),2)</f>
        <v>0</v>
      </c>
      <c r="D29" s="84" t="s">
        <v>388</v>
      </c>
      <c r="E29" s="84"/>
      <c r="F29" s="50">
        <f>ROUND(C29*(21/100),2)</f>
        <v>0</v>
      </c>
      <c r="G29" s="84" t="s">
        <v>389</v>
      </c>
      <c r="H29" s="84"/>
      <c r="I29" s="50">
        <f>ROUND(SUM(F28:F29)+I28,2)</f>
        <v>0</v>
      </c>
    </row>
    <row r="31" spans="1:9">
      <c r="A31" s="80" t="s">
        <v>390</v>
      </c>
      <c r="B31" s="80"/>
      <c r="C31" s="80"/>
      <c r="D31" s="81" t="s">
        <v>391</v>
      </c>
      <c r="E31" s="81"/>
      <c r="F31" s="81"/>
      <c r="G31" s="81" t="s">
        <v>392</v>
      </c>
      <c r="H31" s="81"/>
      <c r="I31" s="81"/>
    </row>
    <row r="32" spans="1:9">
      <c r="A32" s="78"/>
      <c r="B32" s="78"/>
      <c r="C32" s="78"/>
      <c r="D32" s="79"/>
      <c r="E32" s="79"/>
      <c r="F32" s="79"/>
      <c r="G32" s="79"/>
      <c r="H32" s="79"/>
      <c r="I32" s="79"/>
    </row>
    <row r="33" spans="1:9">
      <c r="A33" s="78"/>
      <c r="B33" s="78"/>
      <c r="C33" s="78"/>
      <c r="D33" s="79"/>
      <c r="E33" s="79"/>
      <c r="F33" s="79"/>
      <c r="G33" s="79"/>
      <c r="H33" s="79"/>
      <c r="I33" s="79"/>
    </row>
    <row r="34" spans="1:9">
      <c r="A34" s="78"/>
      <c r="B34" s="78"/>
      <c r="C34" s="78"/>
      <c r="D34" s="79"/>
      <c r="E34" s="79"/>
      <c r="F34" s="79"/>
      <c r="G34" s="79"/>
      <c r="H34" s="79"/>
      <c r="I34" s="79"/>
    </row>
    <row r="35" spans="1:9">
      <c r="A35" s="76" t="s">
        <v>393</v>
      </c>
      <c r="B35" s="76"/>
      <c r="C35" s="76"/>
      <c r="D35" s="77" t="s">
        <v>393</v>
      </c>
      <c r="E35" s="77"/>
      <c r="F35" s="77"/>
      <c r="G35" s="77" t="s">
        <v>393</v>
      </c>
      <c r="H35" s="77"/>
      <c r="I35" s="77"/>
    </row>
    <row r="36" spans="1:9">
      <c r="A36" s="37" t="s">
        <v>349</v>
      </c>
    </row>
    <row r="37" spans="1:9" ht="12.75" customHeight="1">
      <c r="A37" s="58"/>
      <c r="B37" s="58"/>
      <c r="C37" s="58"/>
      <c r="D37" s="58"/>
      <c r="E37" s="58"/>
      <c r="F37" s="58"/>
      <c r="G37" s="58"/>
      <c r="H37" s="58"/>
      <c r="I37" s="58"/>
    </row>
  </sheetData>
  <mergeCells count="83">
    <mergeCell ref="A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8:B28"/>
    <mergeCell ref="D28:E28"/>
    <mergeCell ref="G28:H28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5:C35"/>
    <mergeCell ref="D35:F35"/>
    <mergeCell ref="G35:I35"/>
    <mergeCell ref="A37:I37"/>
    <mergeCell ref="A33:C33"/>
    <mergeCell ref="D33:F33"/>
    <mergeCell ref="G33:I33"/>
    <mergeCell ref="A34:C34"/>
    <mergeCell ref="D34:F34"/>
    <mergeCell ref="G34:I34"/>
  </mergeCells>
  <pageMargins left="0.39374999999999999" right="0.39374999999999999" top="0.59097222222222201" bottom="0.59097222222222201" header="0.511811023622047" footer="0.511811023622047"/>
  <pageSetup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zoomScaleNormal="100" workbookViewId="0">
      <selection activeCell="A36" sqref="A36"/>
    </sheetView>
  </sheetViews>
  <sheetFormatPr defaultColWidth="12.140625" defaultRowHeight="15"/>
  <cols>
    <col min="1" max="1" width="9.140625" style="5" customWidth="1"/>
    <col min="2" max="2" width="12.85546875" style="5" customWidth="1"/>
    <col min="3" max="3" width="22.85546875" style="5" customWidth="1"/>
    <col min="4" max="4" width="10" style="5" customWidth="1"/>
    <col min="5" max="5" width="14" style="5" customWidth="1"/>
    <col min="6" max="6" width="22.85546875" style="5" customWidth="1"/>
    <col min="7" max="7" width="9.140625" style="5" customWidth="1"/>
    <col min="8" max="8" width="17.140625" style="5" customWidth="1"/>
    <col min="9" max="9" width="22.85546875" style="5" customWidth="1"/>
  </cols>
  <sheetData>
    <row r="1" spans="1:9" ht="54.75" customHeight="1">
      <c r="A1" s="99" t="s">
        <v>394</v>
      </c>
      <c r="B1" s="99"/>
      <c r="C1" s="99"/>
      <c r="D1" s="99"/>
      <c r="E1" s="99"/>
      <c r="F1" s="99"/>
      <c r="G1" s="99"/>
      <c r="H1" s="99"/>
      <c r="I1" s="99"/>
    </row>
    <row r="2" spans="1:9" ht="15" customHeight="1">
      <c r="A2" s="71" t="s">
        <v>1</v>
      </c>
      <c r="B2" s="71"/>
      <c r="C2" s="72" t="str">
        <f>'Stavební rozpočet'!D2</f>
        <v>Výměna zdroje tepla v objektu ul. Hasičská 339/34</v>
      </c>
      <c r="D2" s="72"/>
      <c r="E2" s="74" t="s">
        <v>5</v>
      </c>
      <c r="F2" s="74" t="str">
        <f>'Stavební rozpočet'!J2</f>
        <v> </v>
      </c>
      <c r="G2" s="74"/>
      <c r="H2" s="74" t="s">
        <v>351</v>
      </c>
      <c r="I2" s="75"/>
    </row>
    <row r="3" spans="1:9" ht="15" customHeight="1">
      <c r="A3" s="71"/>
      <c r="B3" s="71"/>
      <c r="C3" s="72"/>
      <c r="D3" s="72"/>
      <c r="E3" s="74"/>
      <c r="F3" s="74"/>
      <c r="G3" s="74"/>
      <c r="H3" s="74"/>
      <c r="I3" s="75"/>
    </row>
    <row r="4" spans="1:9" ht="15" customHeight="1">
      <c r="A4" s="66" t="s">
        <v>7</v>
      </c>
      <c r="B4" s="66"/>
      <c r="C4" s="58" t="str">
        <f>'Stavební rozpočet'!D4</f>
        <v>Hasičská zbrojnice</v>
      </c>
      <c r="D4" s="58"/>
      <c r="E4" s="58" t="s">
        <v>11</v>
      </c>
      <c r="F4" s="58" t="str">
        <f>'Stavební rozpočet'!J4</f>
        <v> </v>
      </c>
      <c r="G4" s="58"/>
      <c r="H4" s="58" t="s">
        <v>351</v>
      </c>
      <c r="I4" s="68"/>
    </row>
    <row r="5" spans="1:9" ht="15" customHeight="1">
      <c r="A5" s="66"/>
      <c r="B5" s="66"/>
      <c r="C5" s="58"/>
      <c r="D5" s="58"/>
      <c r="E5" s="58"/>
      <c r="F5" s="58"/>
      <c r="G5" s="58"/>
      <c r="H5" s="58"/>
      <c r="I5" s="68"/>
    </row>
    <row r="6" spans="1:9" ht="15" customHeight="1">
      <c r="A6" s="66" t="s">
        <v>12</v>
      </c>
      <c r="B6" s="66"/>
      <c r="C6" s="58" t="str">
        <f>'Stavební rozpočet'!D6</f>
        <v>Ostrava - Hrabůvka</v>
      </c>
      <c r="D6" s="58"/>
      <c r="E6" s="58" t="s">
        <v>15</v>
      </c>
      <c r="F6" s="58" t="str">
        <f>'Stavební rozpočet'!J6</f>
        <v> </v>
      </c>
      <c r="G6" s="58"/>
      <c r="H6" s="58" t="s">
        <v>351</v>
      </c>
      <c r="I6" s="68"/>
    </row>
    <row r="7" spans="1:9" ht="15" customHeight="1">
      <c r="A7" s="66"/>
      <c r="B7" s="66"/>
      <c r="C7" s="58"/>
      <c r="D7" s="58"/>
      <c r="E7" s="58"/>
      <c r="F7" s="58"/>
      <c r="G7" s="58"/>
      <c r="H7" s="58"/>
      <c r="I7" s="68"/>
    </row>
    <row r="8" spans="1:9" ht="15" customHeight="1">
      <c r="A8" s="66" t="s">
        <v>9</v>
      </c>
      <c r="B8" s="66"/>
      <c r="C8" s="58" t="str">
        <f>'Stavební rozpočet'!H4</f>
        <v>31.03.2025</v>
      </c>
      <c r="D8" s="58"/>
      <c r="E8" s="58" t="s">
        <v>14</v>
      </c>
      <c r="F8" s="58" t="str">
        <f>'Stavební rozpočet'!H6</f>
        <v xml:space="preserve"> </v>
      </c>
      <c r="G8" s="58"/>
      <c r="H8" s="67" t="s">
        <v>352</v>
      </c>
      <c r="I8" s="95">
        <v>83</v>
      </c>
    </row>
    <row r="9" spans="1:9" ht="12.75">
      <c r="A9" s="66"/>
      <c r="B9" s="66"/>
      <c r="C9" s="58"/>
      <c r="D9" s="58"/>
      <c r="E9" s="58"/>
      <c r="F9" s="58"/>
      <c r="G9" s="58"/>
      <c r="H9" s="67"/>
      <c r="I9" s="95"/>
    </row>
    <row r="10" spans="1:9" ht="15" customHeight="1">
      <c r="A10" s="96" t="s">
        <v>16</v>
      </c>
      <c r="B10" s="96"/>
      <c r="C10" s="60" t="str">
        <f>'Stavební rozpočet'!D8</f>
        <v xml:space="preserve"> </v>
      </c>
      <c r="D10" s="60"/>
      <c r="E10" s="60" t="s">
        <v>18</v>
      </c>
      <c r="F10" s="60" t="str">
        <f>'Stavební rozpočet'!J8</f>
        <v>L. Strakoš</v>
      </c>
      <c r="G10" s="60"/>
      <c r="H10" s="97" t="s">
        <v>353</v>
      </c>
      <c r="I10" s="98" t="str">
        <f>'Stavební rozpočet'!H8</f>
        <v>31.03.2025</v>
      </c>
    </row>
    <row r="11" spans="1:9" ht="12.75">
      <c r="A11" s="96"/>
      <c r="B11" s="96"/>
      <c r="C11" s="60"/>
      <c r="D11" s="60"/>
      <c r="E11" s="60"/>
      <c r="F11" s="60"/>
      <c r="G11" s="60"/>
      <c r="H11" s="97"/>
      <c r="I11" s="98"/>
    </row>
    <row r="13" spans="1:9" ht="15.75">
      <c r="A13" s="101" t="s">
        <v>395</v>
      </c>
      <c r="B13" s="101"/>
      <c r="C13" s="101"/>
      <c r="D13" s="101"/>
      <c r="E13" s="101"/>
    </row>
    <row r="14" spans="1:9" ht="12.75">
      <c r="A14" s="102" t="s">
        <v>396</v>
      </c>
      <c r="B14" s="102"/>
      <c r="C14" s="102"/>
      <c r="D14" s="102"/>
      <c r="E14" s="102"/>
      <c r="F14" s="51" t="s">
        <v>397</v>
      </c>
      <c r="G14" s="51" t="s">
        <v>398</v>
      </c>
      <c r="H14" s="51" t="s">
        <v>399</v>
      </c>
      <c r="I14" s="51" t="s">
        <v>397</v>
      </c>
    </row>
    <row r="15" spans="1:9" ht="12.75">
      <c r="A15" s="105" t="s">
        <v>363</v>
      </c>
      <c r="B15" s="105"/>
      <c r="C15" s="105"/>
      <c r="D15" s="105"/>
      <c r="E15" s="105"/>
      <c r="F15" s="52">
        <v>0</v>
      </c>
      <c r="G15" s="53"/>
      <c r="H15" s="53"/>
      <c r="I15" s="52">
        <f>F15</f>
        <v>0</v>
      </c>
    </row>
    <row r="16" spans="1:9" ht="12.75">
      <c r="A16" s="105" t="s">
        <v>365</v>
      </c>
      <c r="B16" s="105"/>
      <c r="C16" s="105"/>
      <c r="D16" s="105"/>
      <c r="E16" s="105"/>
      <c r="F16" s="52">
        <v>0</v>
      </c>
      <c r="G16" s="53"/>
      <c r="H16" s="53"/>
      <c r="I16" s="52">
        <f>F16</f>
        <v>0</v>
      </c>
    </row>
    <row r="17" spans="1:9" ht="12.75">
      <c r="A17" s="103" t="s">
        <v>368</v>
      </c>
      <c r="B17" s="103"/>
      <c r="C17" s="103"/>
      <c r="D17" s="103"/>
      <c r="E17" s="103"/>
      <c r="F17" s="54">
        <v>0</v>
      </c>
      <c r="G17" s="2"/>
      <c r="H17" s="2"/>
      <c r="I17" s="54">
        <f>F17</f>
        <v>0</v>
      </c>
    </row>
    <row r="18" spans="1:9" ht="12.75">
      <c r="A18" s="104" t="s">
        <v>400</v>
      </c>
      <c r="B18" s="104"/>
      <c r="C18" s="104"/>
      <c r="D18" s="104"/>
      <c r="E18" s="104"/>
      <c r="F18" s="55"/>
      <c r="G18" s="56"/>
      <c r="H18" s="56"/>
      <c r="I18" s="57">
        <f>SUM(I15:I17)</f>
        <v>0</v>
      </c>
    </row>
    <row r="20" spans="1:9" ht="12.75">
      <c r="A20" s="102" t="s">
        <v>360</v>
      </c>
      <c r="B20" s="102"/>
      <c r="C20" s="102"/>
      <c r="D20" s="102"/>
      <c r="E20" s="102"/>
      <c r="F20" s="51" t="s">
        <v>397</v>
      </c>
      <c r="G20" s="51" t="s">
        <v>398</v>
      </c>
      <c r="H20" s="51" t="s">
        <v>399</v>
      </c>
      <c r="I20" s="51" t="s">
        <v>397</v>
      </c>
    </row>
    <row r="21" spans="1:9" ht="12.75">
      <c r="A21" s="105" t="s">
        <v>364</v>
      </c>
      <c r="B21" s="105"/>
      <c r="C21" s="105"/>
      <c r="D21" s="105"/>
      <c r="E21" s="105"/>
      <c r="F21" s="52">
        <v>0</v>
      </c>
      <c r="G21" s="53"/>
      <c r="H21" s="53"/>
      <c r="I21" s="52">
        <f t="shared" ref="I21:I26" si="0">F21</f>
        <v>0</v>
      </c>
    </row>
    <row r="22" spans="1:9" ht="12.75">
      <c r="A22" s="105" t="s">
        <v>366</v>
      </c>
      <c r="B22" s="105"/>
      <c r="C22" s="105"/>
      <c r="D22" s="105"/>
      <c r="E22" s="105"/>
      <c r="F22" s="52">
        <v>0</v>
      </c>
      <c r="G22" s="53"/>
      <c r="H22" s="53"/>
      <c r="I22" s="52">
        <f t="shared" si="0"/>
        <v>0</v>
      </c>
    </row>
    <row r="23" spans="1:9" ht="12.75">
      <c r="A23" s="105" t="s">
        <v>369</v>
      </c>
      <c r="B23" s="105"/>
      <c r="C23" s="105"/>
      <c r="D23" s="105"/>
      <c r="E23" s="105"/>
      <c r="F23" s="52">
        <v>0</v>
      </c>
      <c r="G23" s="53"/>
      <c r="H23" s="53"/>
      <c r="I23" s="52">
        <f t="shared" si="0"/>
        <v>0</v>
      </c>
    </row>
    <row r="24" spans="1:9" ht="12.75">
      <c r="A24" s="105" t="s">
        <v>370</v>
      </c>
      <c r="B24" s="105"/>
      <c r="C24" s="105"/>
      <c r="D24" s="105"/>
      <c r="E24" s="105"/>
      <c r="F24" s="52">
        <v>0</v>
      </c>
      <c r="G24" s="53"/>
      <c r="H24" s="53"/>
      <c r="I24" s="52">
        <f t="shared" si="0"/>
        <v>0</v>
      </c>
    </row>
    <row r="25" spans="1:9" ht="12.75">
      <c r="A25" s="105" t="s">
        <v>372</v>
      </c>
      <c r="B25" s="105"/>
      <c r="C25" s="105"/>
      <c r="D25" s="105"/>
      <c r="E25" s="105"/>
      <c r="F25" s="52">
        <v>0</v>
      </c>
      <c r="G25" s="53"/>
      <c r="H25" s="53"/>
      <c r="I25" s="52">
        <f t="shared" si="0"/>
        <v>0</v>
      </c>
    </row>
    <row r="26" spans="1:9" ht="12.75">
      <c r="A26" s="103" t="s">
        <v>373</v>
      </c>
      <c r="B26" s="103"/>
      <c r="C26" s="103"/>
      <c r="D26" s="103"/>
      <c r="E26" s="103"/>
      <c r="F26" s="54">
        <v>0</v>
      </c>
      <c r="G26" s="2"/>
      <c r="H26" s="2"/>
      <c r="I26" s="54">
        <f t="shared" si="0"/>
        <v>0</v>
      </c>
    </row>
    <row r="27" spans="1:9" ht="12.75">
      <c r="A27" s="104" t="s">
        <v>401</v>
      </c>
      <c r="B27" s="104"/>
      <c r="C27" s="104"/>
      <c r="D27" s="104"/>
      <c r="E27" s="104"/>
      <c r="F27" s="55"/>
      <c r="G27" s="56"/>
      <c r="H27" s="56"/>
      <c r="I27" s="57">
        <f>SUM(I21:I26)</f>
        <v>0</v>
      </c>
    </row>
    <row r="29" spans="1:9" ht="15.75">
      <c r="A29" s="106" t="s">
        <v>402</v>
      </c>
      <c r="B29" s="106"/>
      <c r="C29" s="106"/>
      <c r="D29" s="106"/>
      <c r="E29" s="106"/>
      <c r="F29" s="100">
        <f>I18+I27</f>
        <v>0</v>
      </c>
      <c r="G29" s="100"/>
      <c r="H29" s="100"/>
      <c r="I29" s="100"/>
    </row>
    <row r="33" spans="1:9" ht="15.75">
      <c r="A33" s="101" t="s">
        <v>403</v>
      </c>
      <c r="B33" s="101"/>
      <c r="C33" s="101"/>
      <c r="D33" s="101"/>
      <c r="E33" s="101"/>
    </row>
    <row r="34" spans="1:9" ht="12.75">
      <c r="A34" s="102" t="s">
        <v>404</v>
      </c>
      <c r="B34" s="102"/>
      <c r="C34" s="102"/>
      <c r="D34" s="102"/>
      <c r="E34" s="102"/>
      <c r="F34" s="51" t="s">
        <v>397</v>
      </c>
      <c r="G34" s="51" t="s">
        <v>398</v>
      </c>
      <c r="H34" s="51" t="s">
        <v>399</v>
      </c>
      <c r="I34" s="51" t="s">
        <v>397</v>
      </c>
    </row>
    <row r="35" spans="1:9" ht="12.75">
      <c r="A35" s="103"/>
      <c r="B35" s="103"/>
      <c r="C35" s="103"/>
      <c r="D35" s="103"/>
      <c r="E35" s="103"/>
      <c r="F35" s="54">
        <v>0</v>
      </c>
      <c r="G35" s="2"/>
      <c r="H35" s="2"/>
      <c r="I35" s="54">
        <f>F35</f>
        <v>0</v>
      </c>
    </row>
    <row r="36" spans="1:9" ht="12.75">
      <c r="A36" s="104" t="s">
        <v>405</v>
      </c>
      <c r="B36" s="104"/>
      <c r="C36" s="104"/>
      <c r="D36" s="104"/>
      <c r="E36" s="104"/>
      <c r="F36" s="55"/>
      <c r="G36" s="56"/>
      <c r="H36" s="56"/>
      <c r="I36" s="57">
        <f>SUM(I35:I35)</f>
        <v>0</v>
      </c>
    </row>
  </sheetData>
  <mergeCells count="51">
    <mergeCell ref="A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</mergeCells>
  <pageMargins left="0.39374999999999999" right="0.39374999999999999" top="0.59097222222222201" bottom="0.59097222222222201" header="0.511811023622047" footer="0.511811023622047"/>
  <pageSetup fitToHeight="0" orientation="landscape" horizontalDpi="300" verticalDpi="30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54612BEEE5D04D8745839785B7A2E2" ma:contentTypeVersion="12" ma:contentTypeDescription="Vytvoří nový dokument" ma:contentTypeScope="" ma:versionID="9a68a07f853a91438f667806b384e2fd">
  <xsd:schema xmlns:xsd="http://www.w3.org/2001/XMLSchema" xmlns:xs="http://www.w3.org/2001/XMLSchema" xmlns:p="http://schemas.microsoft.com/office/2006/metadata/properties" xmlns:ns2="2f43e4e2-7888-4806-8c11-a3feb05b1c87" xmlns:ns3="4fdc5afd-23d0-4199-b3ce-506d8415eecc" targetNamespace="http://schemas.microsoft.com/office/2006/metadata/properties" ma:root="true" ma:fieldsID="00d42a32f2a0e280fd62ab41f907a3e8" ns2:_="" ns3:_="">
    <xsd:import namespace="2f43e4e2-7888-4806-8c11-a3feb05b1c87"/>
    <xsd:import namespace="4fdc5afd-23d0-4199-b3ce-506d8415ee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43e4e2-7888-4806-8c11-a3feb05b1c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5f349d7b-d361-40b5-82d2-96282eddda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c5afd-23d0-4199-b3ce-506d8415eec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8ce8048-6e12-4a6b-9121-abc2bf9dbfe3}" ma:internalName="TaxCatchAll" ma:showField="CatchAllData" ma:web="4fdc5afd-23d0-4199-b3ce-506d8415ee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dc5afd-23d0-4199-b3ce-506d8415eecc" xsi:nil="true"/>
    <lcf76f155ced4ddcb4097134ff3c332f xmlns="2f43e4e2-7888-4806-8c11-a3feb05b1c8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96E5D4-0DF3-4D9C-9CD6-8C331174A8D7}"/>
</file>

<file path=customXml/itemProps2.xml><?xml version="1.0" encoding="utf-8"?>
<ds:datastoreItem xmlns:ds="http://schemas.openxmlformats.org/officeDocument/2006/customXml" ds:itemID="{674648FF-2970-40D2-A902-671790F42B23}"/>
</file>

<file path=customXml/itemProps3.xml><?xml version="1.0" encoding="utf-8"?>
<ds:datastoreItem xmlns:ds="http://schemas.openxmlformats.org/officeDocument/2006/customXml" ds:itemID="{F76ED354-8B68-40F8-94D7-52DDBCE907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Maxová Gabriela</cp:lastModifiedBy>
  <cp:revision>0</cp:revision>
  <dcterms:created xsi:type="dcterms:W3CDTF">2021-06-10T20:06:38Z</dcterms:created>
  <dcterms:modified xsi:type="dcterms:W3CDTF">2025-06-18T06:25:53Z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0x0101000454612BEEE5D04D8745839785B7A2E2</vt:lpwstr>
  </property>
  <property fmtid="{D5CDD505-2E9C-101B-9397-08002B2CF9AE}" pid="3" name="MediaServiceImageTags">
    <vt:lpwstr/>
  </property>
</Properties>
</file>